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ae2ea70bc4e15d2/桌面/小天書/"/>
    </mc:Choice>
  </mc:AlternateContent>
  <xr:revisionPtr revIDLastSave="0" documentId="8_{77033174-F7C0-4A2B-88E9-FBE45B8BBAB2}" xr6:coauthVersionLast="47" xr6:coauthVersionMax="47" xr10:uidLastSave="{00000000-0000-0000-0000-000000000000}"/>
  <bookViews>
    <workbookView xWindow="4965" yWindow="840" windowWidth="21600" windowHeight="15435" xr2:uid="{7FC78C32-716A-4998-B502-8DA395515723}"/>
  </bookViews>
  <sheets>
    <sheet name="工作表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01" i="1" l="1"/>
  <c r="N301" i="1"/>
  <c r="M301" i="1"/>
  <c r="L301" i="1"/>
  <c r="K301" i="1"/>
  <c r="J301" i="1"/>
  <c r="I301" i="1"/>
  <c r="H301" i="1"/>
  <c r="G301" i="1"/>
  <c r="F301" i="1"/>
  <c r="E301" i="1"/>
  <c r="D301" i="1"/>
  <c r="C301" i="1"/>
  <c r="B301" i="1"/>
  <c r="A301" i="1"/>
  <c r="O300" i="1"/>
  <c r="N300" i="1"/>
  <c r="M300" i="1"/>
  <c r="L300" i="1"/>
  <c r="K300" i="1"/>
  <c r="J300" i="1"/>
  <c r="I300" i="1"/>
  <c r="H300" i="1"/>
  <c r="G300" i="1"/>
  <c r="F300" i="1"/>
  <c r="E300" i="1"/>
  <c r="D300" i="1"/>
  <c r="C300" i="1"/>
  <c r="B300" i="1"/>
  <c r="A300" i="1"/>
  <c r="O299" i="1"/>
  <c r="N299" i="1"/>
  <c r="M299" i="1"/>
  <c r="L299" i="1"/>
  <c r="K299" i="1"/>
  <c r="J299" i="1"/>
  <c r="I299" i="1"/>
  <c r="H299" i="1"/>
  <c r="G299" i="1"/>
  <c r="F299" i="1"/>
  <c r="E299" i="1"/>
  <c r="D299" i="1"/>
  <c r="C299" i="1"/>
  <c r="B299" i="1"/>
  <c r="A299" i="1"/>
  <c r="O298" i="1"/>
  <c r="N298" i="1"/>
  <c r="M298" i="1"/>
  <c r="L298" i="1"/>
  <c r="K298" i="1"/>
  <c r="J298" i="1"/>
  <c r="I298" i="1"/>
  <c r="H298" i="1"/>
  <c r="G298" i="1"/>
  <c r="F298" i="1"/>
  <c r="E298" i="1"/>
  <c r="D298" i="1"/>
  <c r="C298" i="1"/>
  <c r="B298" i="1"/>
  <c r="A298" i="1"/>
  <c r="O297" i="1"/>
  <c r="N297" i="1"/>
  <c r="M297" i="1"/>
  <c r="L297" i="1"/>
  <c r="K297" i="1"/>
  <c r="J297" i="1"/>
  <c r="I297" i="1"/>
  <c r="H297" i="1"/>
  <c r="G297" i="1"/>
  <c r="F297" i="1"/>
  <c r="E297" i="1"/>
  <c r="D297" i="1"/>
  <c r="C297" i="1"/>
  <c r="B297" i="1"/>
  <c r="A297" i="1"/>
  <c r="O296" i="1"/>
  <c r="N296" i="1"/>
  <c r="M296" i="1"/>
  <c r="L296" i="1"/>
  <c r="K296" i="1"/>
  <c r="J296" i="1"/>
  <c r="I296" i="1"/>
  <c r="H296" i="1"/>
  <c r="G296" i="1"/>
  <c r="F296" i="1"/>
  <c r="E296" i="1"/>
  <c r="D296" i="1"/>
  <c r="C296" i="1"/>
  <c r="B296" i="1"/>
  <c r="A296" i="1"/>
  <c r="O295" i="1"/>
  <c r="N295" i="1"/>
  <c r="M295" i="1"/>
  <c r="L295" i="1"/>
  <c r="K295" i="1"/>
  <c r="J295" i="1"/>
  <c r="I295" i="1"/>
  <c r="H295" i="1"/>
  <c r="G295" i="1"/>
  <c r="F295" i="1"/>
  <c r="E295" i="1"/>
  <c r="D295" i="1"/>
  <c r="C295" i="1"/>
  <c r="B295" i="1"/>
  <c r="A295" i="1"/>
  <c r="O294" i="1"/>
  <c r="N294" i="1"/>
  <c r="M294" i="1"/>
  <c r="L294" i="1"/>
  <c r="K294" i="1"/>
  <c r="J294" i="1"/>
  <c r="I294" i="1"/>
  <c r="H294" i="1"/>
  <c r="G294" i="1"/>
  <c r="F294" i="1"/>
  <c r="E294" i="1"/>
  <c r="D294" i="1"/>
  <c r="C294" i="1"/>
  <c r="B294" i="1"/>
  <c r="A294" i="1"/>
  <c r="O293" i="1"/>
  <c r="N293" i="1"/>
  <c r="M293" i="1"/>
  <c r="L293" i="1"/>
  <c r="K293" i="1"/>
  <c r="J293" i="1"/>
  <c r="I293" i="1"/>
  <c r="H293" i="1"/>
  <c r="G293" i="1"/>
  <c r="F293" i="1"/>
  <c r="E293" i="1"/>
  <c r="D293" i="1"/>
  <c r="C293" i="1"/>
  <c r="B293" i="1"/>
  <c r="A293" i="1"/>
  <c r="O292" i="1"/>
  <c r="N292" i="1"/>
  <c r="M292" i="1"/>
  <c r="L292" i="1"/>
  <c r="K292" i="1"/>
  <c r="J292" i="1"/>
  <c r="I292" i="1"/>
  <c r="H292" i="1"/>
  <c r="G292" i="1"/>
  <c r="F292" i="1"/>
  <c r="E292" i="1"/>
  <c r="D292" i="1"/>
  <c r="C292" i="1"/>
  <c r="B292" i="1"/>
  <c r="A292" i="1"/>
  <c r="O291" i="1"/>
  <c r="N291" i="1"/>
  <c r="M291" i="1"/>
  <c r="L291" i="1"/>
  <c r="K291" i="1"/>
  <c r="J291" i="1"/>
  <c r="I291" i="1"/>
  <c r="H291" i="1"/>
  <c r="G291" i="1"/>
  <c r="F291" i="1"/>
  <c r="E291" i="1"/>
  <c r="D291" i="1"/>
  <c r="C291" i="1"/>
  <c r="B291" i="1"/>
  <c r="A291" i="1"/>
  <c r="O290" i="1"/>
  <c r="N290" i="1"/>
  <c r="M290" i="1"/>
  <c r="L290" i="1"/>
  <c r="K290" i="1"/>
  <c r="J290" i="1"/>
  <c r="I290" i="1"/>
  <c r="H290" i="1"/>
  <c r="G290" i="1"/>
  <c r="F290" i="1"/>
  <c r="E290" i="1"/>
  <c r="D290" i="1"/>
  <c r="C290" i="1"/>
  <c r="B290" i="1"/>
  <c r="A290" i="1"/>
  <c r="O289" i="1"/>
  <c r="N289" i="1"/>
  <c r="M289" i="1"/>
  <c r="L289" i="1"/>
  <c r="K289" i="1"/>
  <c r="J289" i="1"/>
  <c r="I289" i="1"/>
  <c r="H289" i="1"/>
  <c r="G289" i="1"/>
  <c r="F289" i="1"/>
  <c r="E289" i="1"/>
  <c r="D289" i="1"/>
  <c r="C289" i="1"/>
  <c r="B289" i="1"/>
  <c r="A289" i="1"/>
  <c r="O288" i="1"/>
  <c r="N288" i="1"/>
  <c r="M288" i="1"/>
  <c r="L288" i="1"/>
  <c r="K288" i="1"/>
  <c r="J288" i="1"/>
  <c r="I288" i="1"/>
  <c r="H288" i="1"/>
  <c r="G288" i="1"/>
  <c r="F288" i="1"/>
  <c r="E288" i="1"/>
  <c r="D288" i="1"/>
  <c r="C288" i="1"/>
  <c r="B288" i="1"/>
  <c r="A288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C287" i="1"/>
  <c r="B287" i="1"/>
  <c r="A287" i="1"/>
  <c r="O286" i="1"/>
  <c r="N286" i="1"/>
  <c r="M286" i="1"/>
  <c r="L286" i="1"/>
  <c r="K286" i="1"/>
  <c r="J286" i="1"/>
  <c r="I286" i="1"/>
  <c r="H286" i="1"/>
  <c r="G286" i="1"/>
  <c r="F286" i="1"/>
  <c r="E286" i="1"/>
  <c r="D286" i="1"/>
  <c r="C286" i="1"/>
  <c r="B286" i="1"/>
  <c r="A286" i="1"/>
  <c r="O285" i="1"/>
  <c r="N285" i="1"/>
  <c r="M285" i="1"/>
  <c r="L285" i="1"/>
  <c r="K285" i="1"/>
  <c r="J285" i="1"/>
  <c r="I285" i="1"/>
  <c r="H285" i="1"/>
  <c r="G285" i="1"/>
  <c r="F285" i="1"/>
  <c r="E285" i="1"/>
  <c r="D285" i="1"/>
  <c r="C285" i="1"/>
  <c r="B285" i="1"/>
  <c r="A285" i="1"/>
  <c r="O284" i="1"/>
  <c r="N284" i="1"/>
  <c r="M284" i="1"/>
  <c r="L284" i="1"/>
  <c r="K284" i="1"/>
  <c r="J284" i="1"/>
  <c r="I284" i="1"/>
  <c r="H284" i="1"/>
  <c r="G284" i="1"/>
  <c r="F284" i="1"/>
  <c r="E284" i="1"/>
  <c r="D284" i="1"/>
  <c r="C284" i="1"/>
  <c r="B284" i="1"/>
  <c r="A284" i="1"/>
  <c r="O283" i="1"/>
  <c r="N283" i="1"/>
  <c r="M283" i="1"/>
  <c r="L283" i="1"/>
  <c r="K283" i="1"/>
  <c r="J283" i="1"/>
  <c r="I283" i="1"/>
  <c r="H283" i="1"/>
  <c r="G283" i="1"/>
  <c r="F283" i="1"/>
  <c r="E283" i="1"/>
  <c r="D283" i="1"/>
  <c r="C283" i="1"/>
  <c r="B283" i="1"/>
  <c r="A283" i="1"/>
  <c r="O282" i="1"/>
  <c r="N282" i="1"/>
  <c r="M282" i="1"/>
  <c r="L282" i="1"/>
  <c r="K282" i="1"/>
  <c r="J282" i="1"/>
  <c r="I282" i="1"/>
  <c r="H282" i="1"/>
  <c r="G282" i="1"/>
  <c r="F282" i="1"/>
  <c r="E282" i="1"/>
  <c r="D282" i="1"/>
  <c r="C282" i="1"/>
  <c r="B282" i="1"/>
  <c r="A282" i="1"/>
  <c r="O281" i="1"/>
  <c r="N281" i="1"/>
  <c r="M281" i="1"/>
  <c r="L281" i="1"/>
  <c r="K281" i="1"/>
  <c r="J281" i="1"/>
  <c r="I281" i="1"/>
  <c r="H281" i="1"/>
  <c r="G281" i="1"/>
  <c r="F281" i="1"/>
  <c r="E281" i="1"/>
  <c r="D281" i="1"/>
  <c r="C281" i="1"/>
  <c r="B281" i="1"/>
  <c r="A281" i="1"/>
  <c r="O280" i="1"/>
  <c r="N280" i="1"/>
  <c r="M280" i="1"/>
  <c r="L280" i="1"/>
  <c r="K280" i="1"/>
  <c r="J280" i="1"/>
  <c r="I280" i="1"/>
  <c r="H280" i="1"/>
  <c r="G280" i="1"/>
  <c r="F280" i="1"/>
  <c r="E280" i="1"/>
  <c r="D280" i="1"/>
  <c r="C280" i="1"/>
  <c r="B280" i="1"/>
  <c r="A280" i="1"/>
  <c r="O279" i="1"/>
  <c r="N279" i="1"/>
  <c r="M279" i="1"/>
  <c r="L279" i="1"/>
  <c r="K279" i="1"/>
  <c r="J279" i="1"/>
  <c r="I279" i="1"/>
  <c r="H279" i="1"/>
  <c r="G279" i="1"/>
  <c r="F279" i="1"/>
  <c r="E279" i="1"/>
  <c r="D279" i="1"/>
  <c r="C279" i="1"/>
  <c r="B279" i="1"/>
  <c r="A279" i="1"/>
  <c r="O278" i="1"/>
  <c r="N278" i="1"/>
  <c r="M278" i="1"/>
  <c r="L278" i="1"/>
  <c r="K278" i="1"/>
  <c r="J278" i="1"/>
  <c r="I278" i="1"/>
  <c r="H278" i="1"/>
  <c r="G278" i="1"/>
  <c r="F278" i="1"/>
  <c r="E278" i="1"/>
  <c r="D278" i="1"/>
  <c r="C278" i="1"/>
  <c r="B278" i="1"/>
  <c r="A278" i="1"/>
  <c r="O277" i="1"/>
  <c r="N277" i="1"/>
  <c r="M277" i="1"/>
  <c r="L277" i="1"/>
  <c r="K277" i="1"/>
  <c r="J277" i="1"/>
  <c r="I277" i="1"/>
  <c r="H277" i="1"/>
  <c r="G277" i="1"/>
  <c r="F277" i="1"/>
  <c r="E277" i="1"/>
  <c r="D277" i="1"/>
  <c r="C277" i="1"/>
  <c r="B277" i="1"/>
  <c r="A277" i="1"/>
  <c r="O276" i="1"/>
  <c r="N276" i="1"/>
  <c r="M276" i="1"/>
  <c r="L276" i="1"/>
  <c r="K276" i="1"/>
  <c r="J276" i="1"/>
  <c r="I276" i="1"/>
  <c r="H276" i="1"/>
  <c r="G276" i="1"/>
  <c r="F276" i="1"/>
  <c r="E276" i="1"/>
  <c r="D276" i="1"/>
  <c r="C276" i="1"/>
  <c r="B276" i="1"/>
  <c r="A276" i="1"/>
  <c r="O275" i="1"/>
  <c r="N275" i="1"/>
  <c r="M275" i="1"/>
  <c r="L275" i="1"/>
  <c r="K275" i="1"/>
  <c r="J275" i="1"/>
  <c r="I275" i="1"/>
  <c r="H275" i="1"/>
  <c r="G275" i="1"/>
  <c r="F275" i="1"/>
  <c r="E275" i="1"/>
  <c r="D275" i="1"/>
  <c r="C275" i="1"/>
  <c r="B275" i="1"/>
  <c r="A275" i="1"/>
  <c r="O274" i="1"/>
  <c r="N274" i="1"/>
  <c r="M274" i="1"/>
  <c r="L274" i="1"/>
  <c r="K274" i="1"/>
  <c r="J274" i="1"/>
  <c r="I274" i="1"/>
  <c r="H274" i="1"/>
  <c r="G274" i="1"/>
  <c r="F274" i="1"/>
  <c r="E274" i="1"/>
  <c r="D274" i="1"/>
  <c r="C274" i="1"/>
  <c r="B274" i="1"/>
  <c r="A274" i="1"/>
  <c r="O273" i="1"/>
  <c r="N273" i="1"/>
  <c r="M273" i="1"/>
  <c r="L273" i="1"/>
  <c r="K273" i="1"/>
  <c r="J273" i="1"/>
  <c r="I273" i="1"/>
  <c r="H273" i="1"/>
  <c r="G273" i="1"/>
  <c r="F273" i="1"/>
  <c r="E273" i="1"/>
  <c r="D273" i="1"/>
  <c r="C273" i="1"/>
  <c r="B273" i="1"/>
  <c r="A273" i="1"/>
  <c r="O272" i="1"/>
  <c r="N272" i="1"/>
  <c r="M272" i="1"/>
  <c r="L272" i="1"/>
  <c r="K272" i="1"/>
  <c r="J272" i="1"/>
  <c r="I272" i="1"/>
  <c r="H272" i="1"/>
  <c r="G272" i="1"/>
  <c r="F272" i="1"/>
  <c r="E272" i="1"/>
  <c r="D272" i="1"/>
  <c r="C272" i="1"/>
  <c r="B272" i="1"/>
  <c r="A272" i="1"/>
  <c r="O271" i="1"/>
  <c r="N271" i="1"/>
  <c r="M271" i="1"/>
  <c r="L271" i="1"/>
  <c r="K271" i="1"/>
  <c r="J271" i="1"/>
  <c r="I271" i="1"/>
  <c r="H271" i="1"/>
  <c r="G271" i="1"/>
  <c r="F271" i="1"/>
  <c r="E271" i="1"/>
  <c r="D271" i="1"/>
  <c r="C271" i="1"/>
  <c r="B271" i="1"/>
  <c r="A271" i="1"/>
  <c r="O270" i="1"/>
  <c r="N270" i="1"/>
  <c r="M270" i="1"/>
  <c r="L270" i="1"/>
  <c r="K270" i="1"/>
  <c r="J270" i="1"/>
  <c r="I270" i="1"/>
  <c r="H270" i="1"/>
  <c r="G270" i="1"/>
  <c r="F270" i="1"/>
  <c r="E270" i="1"/>
  <c r="D270" i="1"/>
  <c r="C270" i="1"/>
  <c r="B270" i="1"/>
  <c r="A270" i="1"/>
  <c r="O269" i="1"/>
  <c r="N269" i="1"/>
  <c r="M269" i="1"/>
  <c r="L269" i="1"/>
  <c r="K269" i="1"/>
  <c r="J269" i="1"/>
  <c r="I269" i="1"/>
  <c r="H269" i="1"/>
  <c r="G269" i="1"/>
  <c r="F269" i="1"/>
  <c r="E269" i="1"/>
  <c r="D269" i="1"/>
  <c r="C269" i="1"/>
  <c r="B269" i="1"/>
  <c r="A269" i="1"/>
  <c r="O268" i="1"/>
  <c r="N268" i="1"/>
  <c r="M268" i="1"/>
  <c r="L268" i="1"/>
  <c r="K268" i="1"/>
  <c r="J268" i="1"/>
  <c r="I268" i="1"/>
  <c r="H268" i="1"/>
  <c r="G268" i="1"/>
  <c r="F268" i="1"/>
  <c r="E268" i="1"/>
  <c r="D268" i="1"/>
  <c r="C268" i="1"/>
  <c r="B268" i="1"/>
  <c r="A268" i="1"/>
  <c r="O267" i="1"/>
  <c r="N267" i="1"/>
  <c r="M267" i="1"/>
  <c r="L267" i="1"/>
  <c r="K267" i="1"/>
  <c r="J267" i="1"/>
  <c r="I267" i="1"/>
  <c r="H267" i="1"/>
  <c r="G267" i="1"/>
  <c r="F267" i="1"/>
  <c r="E267" i="1"/>
  <c r="D267" i="1"/>
  <c r="C267" i="1"/>
  <c r="B267" i="1"/>
  <c r="A267" i="1"/>
  <c r="O266" i="1"/>
  <c r="N266" i="1"/>
  <c r="M266" i="1"/>
  <c r="L266" i="1"/>
  <c r="K266" i="1"/>
  <c r="J266" i="1"/>
  <c r="I266" i="1"/>
  <c r="H266" i="1"/>
  <c r="G266" i="1"/>
  <c r="F266" i="1"/>
  <c r="E266" i="1"/>
  <c r="D266" i="1"/>
  <c r="C266" i="1"/>
  <c r="B266" i="1"/>
  <c r="A266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C265" i="1"/>
  <c r="B265" i="1"/>
  <c r="A265" i="1"/>
  <c r="O264" i="1"/>
  <c r="N264" i="1"/>
  <c r="M264" i="1"/>
  <c r="L264" i="1"/>
  <c r="K264" i="1"/>
  <c r="J264" i="1"/>
  <c r="I264" i="1"/>
  <c r="H264" i="1"/>
  <c r="G264" i="1"/>
  <c r="F264" i="1"/>
  <c r="E264" i="1"/>
  <c r="D264" i="1"/>
  <c r="C264" i="1"/>
  <c r="B264" i="1"/>
  <c r="A264" i="1"/>
  <c r="O263" i="1"/>
  <c r="N263" i="1"/>
  <c r="M263" i="1"/>
  <c r="L263" i="1"/>
  <c r="K263" i="1"/>
  <c r="J263" i="1"/>
  <c r="I263" i="1"/>
  <c r="H263" i="1"/>
  <c r="G263" i="1"/>
  <c r="F263" i="1"/>
  <c r="E263" i="1"/>
  <c r="D263" i="1"/>
  <c r="C263" i="1"/>
  <c r="B263" i="1"/>
  <c r="A263" i="1"/>
  <c r="O262" i="1"/>
  <c r="N262" i="1"/>
  <c r="M262" i="1"/>
  <c r="L262" i="1"/>
  <c r="K262" i="1"/>
  <c r="J262" i="1"/>
  <c r="I262" i="1"/>
  <c r="H262" i="1"/>
  <c r="G262" i="1"/>
  <c r="F262" i="1"/>
  <c r="E262" i="1"/>
  <c r="D262" i="1"/>
  <c r="C262" i="1"/>
  <c r="B262" i="1"/>
  <c r="A262" i="1"/>
  <c r="O261" i="1"/>
  <c r="N261" i="1"/>
  <c r="M261" i="1"/>
  <c r="L261" i="1"/>
  <c r="K261" i="1"/>
  <c r="J261" i="1"/>
  <c r="I261" i="1"/>
  <c r="H261" i="1"/>
  <c r="G261" i="1"/>
  <c r="F261" i="1"/>
  <c r="E261" i="1"/>
  <c r="D261" i="1"/>
  <c r="C261" i="1"/>
  <c r="B261" i="1"/>
  <c r="A261" i="1"/>
  <c r="O260" i="1"/>
  <c r="N260" i="1"/>
  <c r="M260" i="1"/>
  <c r="L260" i="1"/>
  <c r="K260" i="1"/>
  <c r="J260" i="1"/>
  <c r="I260" i="1"/>
  <c r="H260" i="1"/>
  <c r="G260" i="1"/>
  <c r="F260" i="1"/>
  <c r="E260" i="1"/>
  <c r="D260" i="1"/>
  <c r="C260" i="1"/>
  <c r="B260" i="1"/>
  <c r="A260" i="1"/>
  <c r="O259" i="1"/>
  <c r="N259" i="1"/>
  <c r="M259" i="1"/>
  <c r="L259" i="1"/>
  <c r="K259" i="1"/>
  <c r="J259" i="1"/>
  <c r="I259" i="1"/>
  <c r="H259" i="1"/>
  <c r="G259" i="1"/>
  <c r="F259" i="1"/>
  <c r="E259" i="1"/>
  <c r="D259" i="1"/>
  <c r="C259" i="1"/>
  <c r="B259" i="1"/>
  <c r="A259" i="1"/>
  <c r="O258" i="1"/>
  <c r="N258" i="1"/>
  <c r="M258" i="1"/>
  <c r="L258" i="1"/>
  <c r="K258" i="1"/>
  <c r="J258" i="1"/>
  <c r="I258" i="1"/>
  <c r="H258" i="1"/>
  <c r="G258" i="1"/>
  <c r="F258" i="1"/>
  <c r="E258" i="1"/>
  <c r="D258" i="1"/>
  <c r="C258" i="1"/>
  <c r="B258" i="1"/>
  <c r="A258" i="1"/>
  <c r="O257" i="1"/>
  <c r="N257" i="1"/>
  <c r="M257" i="1"/>
  <c r="L257" i="1"/>
  <c r="K257" i="1"/>
  <c r="J257" i="1"/>
  <c r="I257" i="1"/>
  <c r="H257" i="1"/>
  <c r="G257" i="1"/>
  <c r="F257" i="1"/>
  <c r="E257" i="1"/>
  <c r="D257" i="1"/>
  <c r="C257" i="1"/>
  <c r="B257" i="1"/>
  <c r="A257" i="1"/>
  <c r="O256" i="1"/>
  <c r="N256" i="1"/>
  <c r="M256" i="1"/>
  <c r="L256" i="1"/>
  <c r="K256" i="1"/>
  <c r="J256" i="1"/>
  <c r="I256" i="1"/>
  <c r="H256" i="1"/>
  <c r="G256" i="1"/>
  <c r="F256" i="1"/>
  <c r="E256" i="1"/>
  <c r="D256" i="1"/>
  <c r="C256" i="1"/>
  <c r="B256" i="1"/>
  <c r="A256" i="1"/>
  <c r="O255" i="1"/>
  <c r="N255" i="1"/>
  <c r="M255" i="1"/>
  <c r="L255" i="1"/>
  <c r="K255" i="1"/>
  <c r="J255" i="1"/>
  <c r="I255" i="1"/>
  <c r="H255" i="1"/>
  <c r="G255" i="1"/>
  <c r="F255" i="1"/>
  <c r="E255" i="1"/>
  <c r="D255" i="1"/>
  <c r="C255" i="1"/>
  <c r="B255" i="1"/>
  <c r="A255" i="1"/>
  <c r="O254" i="1"/>
  <c r="N254" i="1"/>
  <c r="M254" i="1"/>
  <c r="L254" i="1"/>
  <c r="K254" i="1"/>
  <c r="J254" i="1"/>
  <c r="I254" i="1"/>
  <c r="H254" i="1"/>
  <c r="G254" i="1"/>
  <c r="F254" i="1"/>
  <c r="E254" i="1"/>
  <c r="D254" i="1"/>
  <c r="C254" i="1"/>
  <c r="B254" i="1"/>
  <c r="A254" i="1"/>
  <c r="O253" i="1"/>
  <c r="N253" i="1"/>
  <c r="M253" i="1"/>
  <c r="L253" i="1"/>
  <c r="K253" i="1"/>
  <c r="J253" i="1"/>
  <c r="I253" i="1"/>
  <c r="H253" i="1"/>
  <c r="G253" i="1"/>
  <c r="F253" i="1"/>
  <c r="E253" i="1"/>
  <c r="D253" i="1"/>
  <c r="C253" i="1"/>
  <c r="B253" i="1"/>
  <c r="A253" i="1"/>
  <c r="O252" i="1"/>
  <c r="N252" i="1"/>
  <c r="M252" i="1"/>
  <c r="L252" i="1"/>
  <c r="K252" i="1"/>
  <c r="J252" i="1"/>
  <c r="I252" i="1"/>
  <c r="H252" i="1"/>
  <c r="G252" i="1"/>
  <c r="F252" i="1"/>
  <c r="E252" i="1"/>
  <c r="D252" i="1"/>
  <c r="C252" i="1"/>
  <c r="B252" i="1"/>
  <c r="A252" i="1"/>
  <c r="O251" i="1"/>
  <c r="N251" i="1"/>
  <c r="M251" i="1"/>
  <c r="L251" i="1"/>
  <c r="K251" i="1"/>
  <c r="J251" i="1"/>
  <c r="I251" i="1"/>
  <c r="H251" i="1"/>
  <c r="G251" i="1"/>
  <c r="F251" i="1"/>
  <c r="E251" i="1"/>
  <c r="D251" i="1"/>
  <c r="C251" i="1"/>
  <c r="B251" i="1"/>
  <c r="A251" i="1"/>
  <c r="O250" i="1"/>
  <c r="N250" i="1"/>
  <c r="M250" i="1"/>
  <c r="L250" i="1"/>
  <c r="K250" i="1"/>
  <c r="J250" i="1"/>
  <c r="I250" i="1"/>
  <c r="H250" i="1"/>
  <c r="G250" i="1"/>
  <c r="F250" i="1"/>
  <c r="E250" i="1"/>
  <c r="D250" i="1"/>
  <c r="C250" i="1"/>
  <c r="B250" i="1"/>
  <c r="A250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C249" i="1"/>
  <c r="B249" i="1"/>
  <c r="A249" i="1"/>
  <c r="O248" i="1"/>
  <c r="N248" i="1"/>
  <c r="M248" i="1"/>
  <c r="L248" i="1"/>
  <c r="K248" i="1"/>
  <c r="J248" i="1"/>
  <c r="I248" i="1"/>
  <c r="H248" i="1"/>
  <c r="G248" i="1"/>
  <c r="F248" i="1"/>
  <c r="E248" i="1"/>
  <c r="D248" i="1"/>
  <c r="C248" i="1"/>
  <c r="B248" i="1"/>
  <c r="A248" i="1"/>
  <c r="O247" i="1"/>
  <c r="N247" i="1"/>
  <c r="M247" i="1"/>
  <c r="L247" i="1"/>
  <c r="K247" i="1"/>
  <c r="J247" i="1"/>
  <c r="I247" i="1"/>
  <c r="H247" i="1"/>
  <c r="G247" i="1"/>
  <c r="F247" i="1"/>
  <c r="E247" i="1"/>
  <c r="D247" i="1"/>
  <c r="C247" i="1"/>
  <c r="B247" i="1"/>
  <c r="A247" i="1"/>
  <c r="O246" i="1"/>
  <c r="N246" i="1"/>
  <c r="M246" i="1"/>
  <c r="L246" i="1"/>
  <c r="K246" i="1"/>
  <c r="J246" i="1"/>
  <c r="I246" i="1"/>
  <c r="H246" i="1"/>
  <c r="G246" i="1"/>
  <c r="F246" i="1"/>
  <c r="E246" i="1"/>
  <c r="D246" i="1"/>
  <c r="C246" i="1"/>
  <c r="B246" i="1"/>
  <c r="A246" i="1"/>
  <c r="O245" i="1"/>
  <c r="N245" i="1"/>
  <c r="M245" i="1"/>
  <c r="L245" i="1"/>
  <c r="K245" i="1"/>
  <c r="J245" i="1"/>
  <c r="I245" i="1"/>
  <c r="H245" i="1"/>
  <c r="G245" i="1"/>
  <c r="F245" i="1"/>
  <c r="E245" i="1"/>
  <c r="D245" i="1"/>
  <c r="C245" i="1"/>
  <c r="B245" i="1"/>
  <c r="A245" i="1"/>
  <c r="O244" i="1"/>
  <c r="N244" i="1"/>
  <c r="M244" i="1"/>
  <c r="L244" i="1"/>
  <c r="K244" i="1"/>
  <c r="J244" i="1"/>
  <c r="I244" i="1"/>
  <c r="H244" i="1"/>
  <c r="G244" i="1"/>
  <c r="F244" i="1"/>
  <c r="E244" i="1"/>
  <c r="D244" i="1"/>
  <c r="C244" i="1"/>
  <c r="B244" i="1"/>
  <c r="A244" i="1"/>
  <c r="O243" i="1"/>
  <c r="N243" i="1"/>
  <c r="M243" i="1"/>
  <c r="L243" i="1"/>
  <c r="K243" i="1"/>
  <c r="J243" i="1"/>
  <c r="I243" i="1"/>
  <c r="H243" i="1"/>
  <c r="G243" i="1"/>
  <c r="F243" i="1"/>
  <c r="E243" i="1"/>
  <c r="D243" i="1"/>
  <c r="C243" i="1"/>
  <c r="B243" i="1"/>
  <c r="A243" i="1"/>
  <c r="O242" i="1"/>
  <c r="N242" i="1"/>
  <c r="M242" i="1"/>
  <c r="L242" i="1"/>
  <c r="K242" i="1"/>
  <c r="J242" i="1"/>
  <c r="I242" i="1"/>
  <c r="H242" i="1"/>
  <c r="G242" i="1"/>
  <c r="F242" i="1"/>
  <c r="E242" i="1"/>
  <c r="D242" i="1"/>
  <c r="C242" i="1"/>
  <c r="B242" i="1"/>
  <c r="A242" i="1"/>
  <c r="O241" i="1"/>
  <c r="N241" i="1"/>
  <c r="M241" i="1"/>
  <c r="L241" i="1"/>
  <c r="K241" i="1"/>
  <c r="J241" i="1"/>
  <c r="I241" i="1"/>
  <c r="H241" i="1"/>
  <c r="G241" i="1"/>
  <c r="F241" i="1"/>
  <c r="E241" i="1"/>
  <c r="D241" i="1"/>
  <c r="C241" i="1"/>
  <c r="B241" i="1"/>
  <c r="A241" i="1"/>
  <c r="O240" i="1"/>
  <c r="N240" i="1"/>
  <c r="M240" i="1"/>
  <c r="L240" i="1"/>
  <c r="K240" i="1"/>
  <c r="J240" i="1"/>
  <c r="I240" i="1"/>
  <c r="H240" i="1"/>
  <c r="G240" i="1"/>
  <c r="F240" i="1"/>
  <c r="E240" i="1"/>
  <c r="D240" i="1"/>
  <c r="C240" i="1"/>
  <c r="B240" i="1"/>
  <c r="A240" i="1"/>
  <c r="O239" i="1"/>
  <c r="N239" i="1"/>
  <c r="M239" i="1"/>
  <c r="L239" i="1"/>
  <c r="K239" i="1"/>
  <c r="J239" i="1"/>
  <c r="I239" i="1"/>
  <c r="H239" i="1"/>
  <c r="G239" i="1"/>
  <c r="F239" i="1"/>
  <c r="E239" i="1"/>
  <c r="D239" i="1"/>
  <c r="C239" i="1"/>
  <c r="B239" i="1"/>
  <c r="A239" i="1"/>
  <c r="O238" i="1"/>
  <c r="N238" i="1"/>
  <c r="M238" i="1"/>
  <c r="L238" i="1"/>
  <c r="K238" i="1"/>
  <c r="J238" i="1"/>
  <c r="I238" i="1"/>
  <c r="H238" i="1"/>
  <c r="G238" i="1"/>
  <c r="F238" i="1"/>
  <c r="E238" i="1"/>
  <c r="D238" i="1"/>
  <c r="C238" i="1"/>
  <c r="B238" i="1"/>
  <c r="A238" i="1"/>
  <c r="O237" i="1"/>
  <c r="N237" i="1"/>
  <c r="M237" i="1"/>
  <c r="L237" i="1"/>
  <c r="K237" i="1"/>
  <c r="J237" i="1"/>
  <c r="I237" i="1"/>
  <c r="H237" i="1"/>
  <c r="G237" i="1"/>
  <c r="F237" i="1"/>
  <c r="E237" i="1"/>
  <c r="D237" i="1"/>
  <c r="C237" i="1"/>
  <c r="B237" i="1"/>
  <c r="A237" i="1"/>
  <c r="O236" i="1"/>
  <c r="N236" i="1"/>
  <c r="M236" i="1"/>
  <c r="L236" i="1"/>
  <c r="K236" i="1"/>
  <c r="J236" i="1"/>
  <c r="I236" i="1"/>
  <c r="H236" i="1"/>
  <c r="G236" i="1"/>
  <c r="F236" i="1"/>
  <c r="E236" i="1"/>
  <c r="D236" i="1"/>
  <c r="C236" i="1"/>
  <c r="B236" i="1"/>
  <c r="A236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C235" i="1"/>
  <c r="B235" i="1"/>
  <c r="A235" i="1"/>
  <c r="O234" i="1"/>
  <c r="N234" i="1"/>
  <c r="M234" i="1"/>
  <c r="L234" i="1"/>
  <c r="K234" i="1"/>
  <c r="J234" i="1"/>
  <c r="I234" i="1"/>
  <c r="H234" i="1"/>
  <c r="G234" i="1"/>
  <c r="F234" i="1"/>
  <c r="E234" i="1"/>
  <c r="D234" i="1"/>
  <c r="C234" i="1"/>
  <c r="B234" i="1"/>
  <c r="A234" i="1"/>
  <c r="O233" i="1"/>
  <c r="N233" i="1"/>
  <c r="M233" i="1"/>
  <c r="L233" i="1"/>
  <c r="K233" i="1"/>
  <c r="J233" i="1"/>
  <c r="I233" i="1"/>
  <c r="H233" i="1"/>
  <c r="G233" i="1"/>
  <c r="F233" i="1"/>
  <c r="E233" i="1"/>
  <c r="D233" i="1"/>
  <c r="C233" i="1"/>
  <c r="B233" i="1"/>
  <c r="A233" i="1"/>
  <c r="O232" i="1"/>
  <c r="N232" i="1"/>
  <c r="M232" i="1"/>
  <c r="L232" i="1"/>
  <c r="K232" i="1"/>
  <c r="J232" i="1"/>
  <c r="I232" i="1"/>
  <c r="H232" i="1"/>
  <c r="G232" i="1"/>
  <c r="F232" i="1"/>
  <c r="E232" i="1"/>
  <c r="D232" i="1"/>
  <c r="C232" i="1"/>
  <c r="B232" i="1"/>
  <c r="A232" i="1"/>
  <c r="O231" i="1"/>
  <c r="N231" i="1"/>
  <c r="M231" i="1"/>
  <c r="L231" i="1"/>
  <c r="K231" i="1"/>
  <c r="J231" i="1"/>
  <c r="I231" i="1"/>
  <c r="H231" i="1"/>
  <c r="G231" i="1"/>
  <c r="F231" i="1"/>
  <c r="E231" i="1"/>
  <c r="D231" i="1"/>
  <c r="C231" i="1"/>
  <c r="B231" i="1"/>
  <c r="A231" i="1"/>
  <c r="O230" i="1"/>
  <c r="N230" i="1"/>
  <c r="M230" i="1"/>
  <c r="L230" i="1"/>
  <c r="K230" i="1"/>
  <c r="J230" i="1"/>
  <c r="I230" i="1"/>
  <c r="H230" i="1"/>
  <c r="G230" i="1"/>
  <c r="F230" i="1"/>
  <c r="E230" i="1"/>
  <c r="D230" i="1"/>
  <c r="C230" i="1"/>
  <c r="B230" i="1"/>
  <c r="A230" i="1"/>
  <c r="O229" i="1"/>
  <c r="N229" i="1"/>
  <c r="M229" i="1"/>
  <c r="L229" i="1"/>
  <c r="K229" i="1"/>
  <c r="J229" i="1"/>
  <c r="I229" i="1"/>
  <c r="H229" i="1"/>
  <c r="G229" i="1"/>
  <c r="F229" i="1"/>
  <c r="E229" i="1"/>
  <c r="D229" i="1"/>
  <c r="C229" i="1"/>
  <c r="B229" i="1"/>
  <c r="A229" i="1"/>
  <c r="O228" i="1"/>
  <c r="N228" i="1"/>
  <c r="M228" i="1"/>
  <c r="L228" i="1"/>
  <c r="K228" i="1"/>
  <c r="J228" i="1"/>
  <c r="I228" i="1"/>
  <c r="H228" i="1"/>
  <c r="G228" i="1"/>
  <c r="F228" i="1"/>
  <c r="E228" i="1"/>
  <c r="D228" i="1"/>
  <c r="C228" i="1"/>
  <c r="B228" i="1"/>
  <c r="A228" i="1"/>
  <c r="O227" i="1"/>
  <c r="N227" i="1"/>
  <c r="M227" i="1"/>
  <c r="L227" i="1"/>
  <c r="K227" i="1"/>
  <c r="J227" i="1"/>
  <c r="I227" i="1"/>
  <c r="H227" i="1"/>
  <c r="G227" i="1"/>
  <c r="F227" i="1"/>
  <c r="E227" i="1"/>
  <c r="D227" i="1"/>
  <c r="C227" i="1"/>
  <c r="B227" i="1"/>
  <c r="A227" i="1"/>
  <c r="O226" i="1"/>
  <c r="N226" i="1"/>
  <c r="M226" i="1"/>
  <c r="L226" i="1"/>
  <c r="K226" i="1"/>
  <c r="J226" i="1"/>
  <c r="I226" i="1"/>
  <c r="H226" i="1"/>
  <c r="G226" i="1"/>
  <c r="F226" i="1"/>
  <c r="E226" i="1"/>
  <c r="D226" i="1"/>
  <c r="C226" i="1"/>
  <c r="B226" i="1"/>
  <c r="A226" i="1"/>
  <c r="O225" i="1"/>
  <c r="N225" i="1"/>
  <c r="M225" i="1"/>
  <c r="L225" i="1"/>
  <c r="K225" i="1"/>
  <c r="J225" i="1"/>
  <c r="I225" i="1"/>
  <c r="H225" i="1"/>
  <c r="G225" i="1"/>
  <c r="F225" i="1"/>
  <c r="E225" i="1"/>
  <c r="D225" i="1"/>
  <c r="C225" i="1"/>
  <c r="B225" i="1"/>
  <c r="A225" i="1"/>
  <c r="O224" i="1"/>
  <c r="N224" i="1"/>
  <c r="M224" i="1"/>
  <c r="L224" i="1"/>
  <c r="K224" i="1"/>
  <c r="J224" i="1"/>
  <c r="I224" i="1"/>
  <c r="H224" i="1"/>
  <c r="G224" i="1"/>
  <c r="F224" i="1"/>
  <c r="E224" i="1"/>
  <c r="D224" i="1"/>
  <c r="C224" i="1"/>
  <c r="B224" i="1"/>
  <c r="A224" i="1"/>
  <c r="O223" i="1"/>
  <c r="N223" i="1"/>
  <c r="M223" i="1"/>
  <c r="L223" i="1"/>
  <c r="K223" i="1"/>
  <c r="J223" i="1"/>
  <c r="I223" i="1"/>
  <c r="H223" i="1"/>
  <c r="G223" i="1"/>
  <c r="F223" i="1"/>
  <c r="E223" i="1"/>
  <c r="D223" i="1"/>
  <c r="C223" i="1"/>
  <c r="B223" i="1"/>
  <c r="A223" i="1"/>
  <c r="O222" i="1"/>
  <c r="N222" i="1"/>
  <c r="M222" i="1"/>
  <c r="L222" i="1"/>
  <c r="K222" i="1"/>
  <c r="J222" i="1"/>
  <c r="I222" i="1"/>
  <c r="H222" i="1"/>
  <c r="G222" i="1"/>
  <c r="F222" i="1"/>
  <c r="E222" i="1"/>
  <c r="D222" i="1"/>
  <c r="C222" i="1"/>
  <c r="B222" i="1"/>
  <c r="A222" i="1"/>
  <c r="O221" i="1"/>
  <c r="N221" i="1"/>
  <c r="M221" i="1"/>
  <c r="L221" i="1"/>
  <c r="K221" i="1"/>
  <c r="J221" i="1"/>
  <c r="I221" i="1"/>
  <c r="H221" i="1"/>
  <c r="G221" i="1"/>
  <c r="F221" i="1"/>
  <c r="E221" i="1"/>
  <c r="D221" i="1"/>
  <c r="C221" i="1"/>
  <c r="B221" i="1"/>
  <c r="A221" i="1"/>
  <c r="O220" i="1"/>
  <c r="N220" i="1"/>
  <c r="M220" i="1"/>
  <c r="L220" i="1"/>
  <c r="K220" i="1"/>
  <c r="J220" i="1"/>
  <c r="I220" i="1"/>
  <c r="H220" i="1"/>
  <c r="G220" i="1"/>
  <c r="F220" i="1"/>
  <c r="E220" i="1"/>
  <c r="D220" i="1"/>
  <c r="C220" i="1"/>
  <c r="B220" i="1"/>
  <c r="A220" i="1"/>
  <c r="O219" i="1"/>
  <c r="N219" i="1"/>
  <c r="M219" i="1"/>
  <c r="L219" i="1"/>
  <c r="K219" i="1"/>
  <c r="J219" i="1"/>
  <c r="I219" i="1"/>
  <c r="H219" i="1"/>
  <c r="G219" i="1"/>
  <c r="F219" i="1"/>
  <c r="E219" i="1"/>
  <c r="D219" i="1"/>
  <c r="C219" i="1"/>
  <c r="B219" i="1"/>
  <c r="A219" i="1"/>
  <c r="O218" i="1"/>
  <c r="N218" i="1"/>
  <c r="M218" i="1"/>
  <c r="L218" i="1"/>
  <c r="K218" i="1"/>
  <c r="J218" i="1"/>
  <c r="I218" i="1"/>
  <c r="H218" i="1"/>
  <c r="G218" i="1"/>
  <c r="F218" i="1"/>
  <c r="E218" i="1"/>
  <c r="D218" i="1"/>
  <c r="C218" i="1"/>
  <c r="B218" i="1"/>
  <c r="A218" i="1"/>
  <c r="O217" i="1"/>
  <c r="N217" i="1"/>
  <c r="M217" i="1"/>
  <c r="L217" i="1"/>
  <c r="K217" i="1"/>
  <c r="J217" i="1"/>
  <c r="I217" i="1"/>
  <c r="H217" i="1"/>
  <c r="G217" i="1"/>
  <c r="F217" i="1"/>
  <c r="E217" i="1"/>
  <c r="D217" i="1"/>
  <c r="C217" i="1"/>
  <c r="B217" i="1"/>
  <c r="A217" i="1"/>
  <c r="O216" i="1"/>
  <c r="N216" i="1"/>
  <c r="M216" i="1"/>
  <c r="L216" i="1"/>
  <c r="K216" i="1"/>
  <c r="J216" i="1"/>
  <c r="I216" i="1"/>
  <c r="H216" i="1"/>
  <c r="G216" i="1"/>
  <c r="F216" i="1"/>
  <c r="E216" i="1"/>
  <c r="D216" i="1"/>
  <c r="C216" i="1"/>
  <c r="B216" i="1"/>
  <c r="A216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C215" i="1"/>
  <c r="B215" i="1"/>
  <c r="A215" i="1"/>
  <c r="O214" i="1"/>
  <c r="N214" i="1"/>
  <c r="M214" i="1"/>
  <c r="L214" i="1"/>
  <c r="K214" i="1"/>
  <c r="J214" i="1"/>
  <c r="I214" i="1"/>
  <c r="H214" i="1"/>
  <c r="G214" i="1"/>
  <c r="F214" i="1"/>
  <c r="E214" i="1"/>
  <c r="D214" i="1"/>
  <c r="C214" i="1"/>
  <c r="B214" i="1"/>
  <c r="A214" i="1"/>
  <c r="O213" i="1"/>
  <c r="N213" i="1"/>
  <c r="M213" i="1"/>
  <c r="L213" i="1"/>
  <c r="K213" i="1"/>
  <c r="J213" i="1"/>
  <c r="I213" i="1"/>
  <c r="H213" i="1"/>
  <c r="G213" i="1"/>
  <c r="F213" i="1"/>
  <c r="E213" i="1"/>
  <c r="D213" i="1"/>
  <c r="C213" i="1"/>
  <c r="B213" i="1"/>
  <c r="A213" i="1"/>
  <c r="O212" i="1"/>
  <c r="N212" i="1"/>
  <c r="M212" i="1"/>
  <c r="L212" i="1"/>
  <c r="K212" i="1"/>
  <c r="J212" i="1"/>
  <c r="I212" i="1"/>
  <c r="H212" i="1"/>
  <c r="G212" i="1"/>
  <c r="F212" i="1"/>
  <c r="E212" i="1"/>
  <c r="D212" i="1"/>
  <c r="C212" i="1"/>
  <c r="B212" i="1"/>
  <c r="A212" i="1"/>
  <c r="O211" i="1"/>
  <c r="N211" i="1"/>
  <c r="M211" i="1"/>
  <c r="L211" i="1"/>
  <c r="K211" i="1"/>
  <c r="J211" i="1"/>
  <c r="I211" i="1"/>
  <c r="H211" i="1"/>
  <c r="G211" i="1"/>
  <c r="F211" i="1"/>
  <c r="E211" i="1"/>
  <c r="D211" i="1"/>
  <c r="C211" i="1"/>
  <c r="B211" i="1"/>
  <c r="A211" i="1"/>
  <c r="O210" i="1"/>
  <c r="N210" i="1"/>
  <c r="M210" i="1"/>
  <c r="L210" i="1"/>
  <c r="K210" i="1"/>
  <c r="J210" i="1"/>
  <c r="I210" i="1"/>
  <c r="H210" i="1"/>
  <c r="G210" i="1"/>
  <c r="F210" i="1"/>
  <c r="E210" i="1"/>
  <c r="D210" i="1"/>
  <c r="C210" i="1"/>
  <c r="B210" i="1"/>
  <c r="A210" i="1"/>
  <c r="O209" i="1"/>
  <c r="N209" i="1"/>
  <c r="M209" i="1"/>
  <c r="L209" i="1"/>
  <c r="K209" i="1"/>
  <c r="J209" i="1"/>
  <c r="I209" i="1"/>
  <c r="H209" i="1"/>
  <c r="G209" i="1"/>
  <c r="F209" i="1"/>
  <c r="E209" i="1"/>
  <c r="D209" i="1"/>
  <c r="C209" i="1"/>
  <c r="B209" i="1"/>
  <c r="A209" i="1"/>
  <c r="O208" i="1"/>
  <c r="N208" i="1"/>
  <c r="M208" i="1"/>
  <c r="L208" i="1"/>
  <c r="K208" i="1"/>
  <c r="J208" i="1"/>
  <c r="I208" i="1"/>
  <c r="H208" i="1"/>
  <c r="G208" i="1"/>
  <c r="F208" i="1"/>
  <c r="E208" i="1"/>
  <c r="D208" i="1"/>
  <c r="C208" i="1"/>
  <c r="B208" i="1"/>
  <c r="A208" i="1"/>
  <c r="O207" i="1"/>
  <c r="N207" i="1"/>
  <c r="M207" i="1"/>
  <c r="L207" i="1"/>
  <c r="K207" i="1"/>
  <c r="J207" i="1"/>
  <c r="I207" i="1"/>
  <c r="H207" i="1"/>
  <c r="G207" i="1"/>
  <c r="F207" i="1"/>
  <c r="E207" i="1"/>
  <c r="D207" i="1"/>
  <c r="C207" i="1"/>
  <c r="B207" i="1"/>
  <c r="A207" i="1"/>
  <c r="O206" i="1"/>
  <c r="N206" i="1"/>
  <c r="M206" i="1"/>
  <c r="L206" i="1"/>
  <c r="K206" i="1"/>
  <c r="J206" i="1"/>
  <c r="I206" i="1"/>
  <c r="H206" i="1"/>
  <c r="G206" i="1"/>
  <c r="F206" i="1"/>
  <c r="E206" i="1"/>
  <c r="D206" i="1"/>
  <c r="C206" i="1"/>
  <c r="B206" i="1"/>
  <c r="A206" i="1"/>
  <c r="O205" i="1"/>
  <c r="N205" i="1"/>
  <c r="M205" i="1"/>
  <c r="L205" i="1"/>
  <c r="K205" i="1"/>
  <c r="J205" i="1"/>
  <c r="I205" i="1"/>
  <c r="H205" i="1"/>
  <c r="G205" i="1"/>
  <c r="F205" i="1"/>
  <c r="E205" i="1"/>
  <c r="D205" i="1"/>
  <c r="C205" i="1"/>
  <c r="B205" i="1"/>
  <c r="A205" i="1"/>
  <c r="O204" i="1"/>
  <c r="N204" i="1"/>
  <c r="M204" i="1"/>
  <c r="L204" i="1"/>
  <c r="K204" i="1"/>
  <c r="J204" i="1"/>
  <c r="I204" i="1"/>
  <c r="H204" i="1"/>
  <c r="G204" i="1"/>
  <c r="F204" i="1"/>
  <c r="E204" i="1"/>
  <c r="D204" i="1"/>
  <c r="C204" i="1"/>
  <c r="B204" i="1"/>
  <c r="A204" i="1"/>
  <c r="O203" i="1"/>
  <c r="N203" i="1"/>
  <c r="M203" i="1"/>
  <c r="L203" i="1"/>
  <c r="K203" i="1"/>
  <c r="J203" i="1"/>
  <c r="I203" i="1"/>
  <c r="H203" i="1"/>
  <c r="G203" i="1"/>
  <c r="F203" i="1"/>
  <c r="E203" i="1"/>
  <c r="D203" i="1"/>
  <c r="C203" i="1"/>
  <c r="B203" i="1"/>
  <c r="A203" i="1"/>
  <c r="O202" i="1"/>
  <c r="N202" i="1"/>
  <c r="M202" i="1"/>
  <c r="L202" i="1"/>
  <c r="K202" i="1"/>
  <c r="J202" i="1"/>
  <c r="I202" i="1"/>
  <c r="H202" i="1"/>
  <c r="G202" i="1"/>
  <c r="F202" i="1"/>
  <c r="E202" i="1"/>
  <c r="D202" i="1"/>
  <c r="C202" i="1"/>
  <c r="B202" i="1"/>
  <c r="A202" i="1"/>
  <c r="O201" i="1"/>
  <c r="N201" i="1"/>
  <c r="M201" i="1"/>
  <c r="L201" i="1"/>
  <c r="K201" i="1"/>
  <c r="J201" i="1"/>
  <c r="I201" i="1"/>
  <c r="H201" i="1"/>
  <c r="G201" i="1"/>
  <c r="F201" i="1"/>
  <c r="E201" i="1"/>
  <c r="D201" i="1"/>
  <c r="C201" i="1"/>
  <c r="B201" i="1"/>
  <c r="A201" i="1"/>
  <c r="O200" i="1"/>
  <c r="N200" i="1"/>
  <c r="M200" i="1"/>
  <c r="L200" i="1"/>
  <c r="K200" i="1"/>
  <c r="J200" i="1"/>
  <c r="I200" i="1"/>
  <c r="H200" i="1"/>
  <c r="G200" i="1"/>
  <c r="F200" i="1"/>
  <c r="E200" i="1"/>
  <c r="D200" i="1"/>
  <c r="C200" i="1"/>
  <c r="B200" i="1"/>
  <c r="A200" i="1"/>
  <c r="O199" i="1"/>
  <c r="N199" i="1"/>
  <c r="M199" i="1"/>
  <c r="L199" i="1"/>
  <c r="K199" i="1"/>
  <c r="J199" i="1"/>
  <c r="I199" i="1"/>
  <c r="H199" i="1"/>
  <c r="G199" i="1"/>
  <c r="F199" i="1"/>
  <c r="E199" i="1"/>
  <c r="D199" i="1"/>
  <c r="C199" i="1"/>
  <c r="B199" i="1"/>
  <c r="A199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C198" i="1"/>
  <c r="B198" i="1"/>
  <c r="A198" i="1"/>
  <c r="O197" i="1"/>
  <c r="N197" i="1"/>
  <c r="M197" i="1"/>
  <c r="L197" i="1"/>
  <c r="K197" i="1"/>
  <c r="J197" i="1"/>
  <c r="I197" i="1"/>
  <c r="H197" i="1"/>
  <c r="G197" i="1"/>
  <c r="F197" i="1"/>
  <c r="E197" i="1"/>
  <c r="D197" i="1"/>
  <c r="C197" i="1"/>
  <c r="B197" i="1"/>
  <c r="A197" i="1"/>
  <c r="O196" i="1"/>
  <c r="N196" i="1"/>
  <c r="M196" i="1"/>
  <c r="L196" i="1"/>
  <c r="K196" i="1"/>
  <c r="J196" i="1"/>
  <c r="I196" i="1"/>
  <c r="H196" i="1"/>
  <c r="G196" i="1"/>
  <c r="F196" i="1"/>
  <c r="E196" i="1"/>
  <c r="D196" i="1"/>
  <c r="C196" i="1"/>
  <c r="B196" i="1"/>
  <c r="A196" i="1"/>
  <c r="O195" i="1"/>
  <c r="N195" i="1"/>
  <c r="M195" i="1"/>
  <c r="L195" i="1"/>
  <c r="K195" i="1"/>
  <c r="J195" i="1"/>
  <c r="I195" i="1"/>
  <c r="H195" i="1"/>
  <c r="G195" i="1"/>
  <c r="F195" i="1"/>
  <c r="E195" i="1"/>
  <c r="D195" i="1"/>
  <c r="C195" i="1"/>
  <c r="B195" i="1"/>
  <c r="A195" i="1"/>
  <c r="O194" i="1"/>
  <c r="N194" i="1"/>
  <c r="M194" i="1"/>
  <c r="L194" i="1"/>
  <c r="K194" i="1"/>
  <c r="J194" i="1"/>
  <c r="I194" i="1"/>
  <c r="H194" i="1"/>
  <c r="G194" i="1"/>
  <c r="F194" i="1"/>
  <c r="E194" i="1"/>
  <c r="D194" i="1"/>
  <c r="C194" i="1"/>
  <c r="B194" i="1"/>
  <c r="A194" i="1"/>
  <c r="O193" i="1"/>
  <c r="N193" i="1"/>
  <c r="M193" i="1"/>
  <c r="L193" i="1"/>
  <c r="K193" i="1"/>
  <c r="J193" i="1"/>
  <c r="I193" i="1"/>
  <c r="H193" i="1"/>
  <c r="G193" i="1"/>
  <c r="F193" i="1"/>
  <c r="E193" i="1"/>
  <c r="D193" i="1"/>
  <c r="C193" i="1"/>
  <c r="B193" i="1"/>
  <c r="A193" i="1"/>
  <c r="O192" i="1"/>
  <c r="N192" i="1"/>
  <c r="M192" i="1"/>
  <c r="L192" i="1"/>
  <c r="K192" i="1"/>
  <c r="J192" i="1"/>
  <c r="I192" i="1"/>
  <c r="H192" i="1"/>
  <c r="G192" i="1"/>
  <c r="F192" i="1"/>
  <c r="E192" i="1"/>
  <c r="D192" i="1"/>
  <c r="C192" i="1"/>
  <c r="B192" i="1"/>
  <c r="A192" i="1"/>
  <c r="O191" i="1"/>
  <c r="N191" i="1"/>
  <c r="M191" i="1"/>
  <c r="L191" i="1"/>
  <c r="K191" i="1"/>
  <c r="J191" i="1"/>
  <c r="I191" i="1"/>
  <c r="H191" i="1"/>
  <c r="G191" i="1"/>
  <c r="F191" i="1"/>
  <c r="E191" i="1"/>
  <c r="D191" i="1"/>
  <c r="C191" i="1"/>
  <c r="B191" i="1"/>
  <c r="A191" i="1"/>
  <c r="O190" i="1"/>
  <c r="N190" i="1"/>
  <c r="M190" i="1"/>
  <c r="L190" i="1"/>
  <c r="K190" i="1"/>
  <c r="J190" i="1"/>
  <c r="I190" i="1"/>
  <c r="H190" i="1"/>
  <c r="G190" i="1"/>
  <c r="F190" i="1"/>
  <c r="E190" i="1"/>
  <c r="D190" i="1"/>
  <c r="C190" i="1"/>
  <c r="B190" i="1"/>
  <c r="A190" i="1"/>
  <c r="O189" i="1"/>
  <c r="N189" i="1"/>
  <c r="M189" i="1"/>
  <c r="L189" i="1"/>
  <c r="K189" i="1"/>
  <c r="J189" i="1"/>
  <c r="I189" i="1"/>
  <c r="H189" i="1"/>
  <c r="G189" i="1"/>
  <c r="F189" i="1"/>
  <c r="E189" i="1"/>
  <c r="D189" i="1"/>
  <c r="C189" i="1"/>
  <c r="B189" i="1"/>
  <c r="A189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C188" i="1"/>
  <c r="B188" i="1"/>
  <c r="A188" i="1"/>
  <c r="O187" i="1"/>
  <c r="N187" i="1"/>
  <c r="M187" i="1"/>
  <c r="L187" i="1"/>
  <c r="K187" i="1"/>
  <c r="J187" i="1"/>
  <c r="I187" i="1"/>
  <c r="H187" i="1"/>
  <c r="G187" i="1"/>
  <c r="F187" i="1"/>
  <c r="E187" i="1"/>
  <c r="D187" i="1"/>
  <c r="C187" i="1"/>
  <c r="B187" i="1"/>
  <c r="A187" i="1"/>
  <c r="O186" i="1"/>
  <c r="N186" i="1"/>
  <c r="M186" i="1"/>
  <c r="L186" i="1"/>
  <c r="K186" i="1"/>
  <c r="J186" i="1"/>
  <c r="I186" i="1"/>
  <c r="H186" i="1"/>
  <c r="G186" i="1"/>
  <c r="F186" i="1"/>
  <c r="E186" i="1"/>
  <c r="D186" i="1"/>
  <c r="C186" i="1"/>
  <c r="B186" i="1"/>
  <c r="A186" i="1"/>
  <c r="O185" i="1"/>
  <c r="N185" i="1"/>
  <c r="M185" i="1"/>
  <c r="L185" i="1"/>
  <c r="K185" i="1"/>
  <c r="J185" i="1"/>
  <c r="I185" i="1"/>
  <c r="H185" i="1"/>
  <c r="G185" i="1"/>
  <c r="F185" i="1"/>
  <c r="E185" i="1"/>
  <c r="D185" i="1"/>
  <c r="C185" i="1"/>
  <c r="B185" i="1"/>
  <c r="A185" i="1"/>
  <c r="O184" i="1"/>
  <c r="N184" i="1"/>
  <c r="M184" i="1"/>
  <c r="L184" i="1"/>
  <c r="K184" i="1"/>
  <c r="J184" i="1"/>
  <c r="I184" i="1"/>
  <c r="H184" i="1"/>
  <c r="G184" i="1"/>
  <c r="F184" i="1"/>
  <c r="E184" i="1"/>
  <c r="D184" i="1"/>
  <c r="C184" i="1"/>
  <c r="B184" i="1"/>
  <c r="A184" i="1"/>
  <c r="O183" i="1"/>
  <c r="N183" i="1"/>
  <c r="M183" i="1"/>
  <c r="L183" i="1"/>
  <c r="K183" i="1"/>
  <c r="J183" i="1"/>
  <c r="I183" i="1"/>
  <c r="H183" i="1"/>
  <c r="G183" i="1"/>
  <c r="F183" i="1"/>
  <c r="E183" i="1"/>
  <c r="D183" i="1"/>
  <c r="C183" i="1"/>
  <c r="B183" i="1"/>
  <c r="A183" i="1"/>
  <c r="O182" i="1"/>
  <c r="N182" i="1"/>
  <c r="M182" i="1"/>
  <c r="L182" i="1"/>
  <c r="K182" i="1"/>
  <c r="J182" i="1"/>
  <c r="I182" i="1"/>
  <c r="H182" i="1"/>
  <c r="G182" i="1"/>
  <c r="F182" i="1"/>
  <c r="E182" i="1"/>
  <c r="D182" i="1"/>
  <c r="C182" i="1"/>
  <c r="B182" i="1"/>
  <c r="A182" i="1"/>
  <c r="O181" i="1"/>
  <c r="N181" i="1"/>
  <c r="M181" i="1"/>
  <c r="L181" i="1"/>
  <c r="K181" i="1"/>
  <c r="J181" i="1"/>
  <c r="I181" i="1"/>
  <c r="H181" i="1"/>
  <c r="G181" i="1"/>
  <c r="F181" i="1"/>
  <c r="E181" i="1"/>
  <c r="D181" i="1"/>
  <c r="C181" i="1"/>
  <c r="B181" i="1"/>
  <c r="A181" i="1"/>
  <c r="O180" i="1"/>
  <c r="N180" i="1"/>
  <c r="M180" i="1"/>
  <c r="L180" i="1"/>
  <c r="K180" i="1"/>
  <c r="J180" i="1"/>
  <c r="I180" i="1"/>
  <c r="H180" i="1"/>
  <c r="G180" i="1"/>
  <c r="F180" i="1"/>
  <c r="E180" i="1"/>
  <c r="D180" i="1"/>
  <c r="C180" i="1"/>
  <c r="B180" i="1"/>
  <c r="A180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C179" i="1"/>
  <c r="B179" i="1"/>
  <c r="A179" i="1"/>
  <c r="O178" i="1"/>
  <c r="N178" i="1"/>
  <c r="M178" i="1"/>
  <c r="L178" i="1"/>
  <c r="K178" i="1"/>
  <c r="J178" i="1"/>
  <c r="I178" i="1"/>
  <c r="H178" i="1"/>
  <c r="G178" i="1"/>
  <c r="F178" i="1"/>
  <c r="E178" i="1"/>
  <c r="D178" i="1"/>
  <c r="C178" i="1"/>
  <c r="B178" i="1"/>
  <c r="A178" i="1"/>
  <c r="O177" i="1"/>
  <c r="N177" i="1"/>
  <c r="M177" i="1"/>
  <c r="L177" i="1"/>
  <c r="K177" i="1"/>
  <c r="J177" i="1"/>
  <c r="I177" i="1"/>
  <c r="H177" i="1"/>
  <c r="G177" i="1"/>
  <c r="F177" i="1"/>
  <c r="E177" i="1"/>
  <c r="D177" i="1"/>
  <c r="C177" i="1"/>
  <c r="B177" i="1"/>
  <c r="A177" i="1"/>
  <c r="O176" i="1"/>
  <c r="N176" i="1"/>
  <c r="M176" i="1"/>
  <c r="L176" i="1"/>
  <c r="K176" i="1"/>
  <c r="J176" i="1"/>
  <c r="I176" i="1"/>
  <c r="H176" i="1"/>
  <c r="G176" i="1"/>
  <c r="F176" i="1"/>
  <c r="E176" i="1"/>
  <c r="D176" i="1"/>
  <c r="C176" i="1"/>
  <c r="B176" i="1"/>
  <c r="A176" i="1"/>
  <c r="O175" i="1"/>
  <c r="N175" i="1"/>
  <c r="M175" i="1"/>
  <c r="L175" i="1"/>
  <c r="K175" i="1"/>
  <c r="J175" i="1"/>
  <c r="I175" i="1"/>
  <c r="H175" i="1"/>
  <c r="G175" i="1"/>
  <c r="F175" i="1"/>
  <c r="E175" i="1"/>
  <c r="D175" i="1"/>
  <c r="C175" i="1"/>
  <c r="B175" i="1"/>
  <c r="A175" i="1"/>
  <c r="O174" i="1"/>
  <c r="N174" i="1"/>
  <c r="M174" i="1"/>
  <c r="L174" i="1"/>
  <c r="K174" i="1"/>
  <c r="J174" i="1"/>
  <c r="I174" i="1"/>
  <c r="H174" i="1"/>
  <c r="G174" i="1"/>
  <c r="F174" i="1"/>
  <c r="E174" i="1"/>
  <c r="D174" i="1"/>
  <c r="C174" i="1"/>
  <c r="B174" i="1"/>
  <c r="A174" i="1"/>
  <c r="O173" i="1"/>
  <c r="N173" i="1"/>
  <c r="M173" i="1"/>
  <c r="L173" i="1"/>
  <c r="K173" i="1"/>
  <c r="J173" i="1"/>
  <c r="I173" i="1"/>
  <c r="H173" i="1"/>
  <c r="G173" i="1"/>
  <c r="F173" i="1"/>
  <c r="E173" i="1"/>
  <c r="D173" i="1"/>
  <c r="C173" i="1"/>
  <c r="B173" i="1"/>
  <c r="A173" i="1"/>
  <c r="O172" i="1"/>
  <c r="N172" i="1"/>
  <c r="M172" i="1"/>
  <c r="L172" i="1"/>
  <c r="K172" i="1"/>
  <c r="J172" i="1"/>
  <c r="I172" i="1"/>
  <c r="H172" i="1"/>
  <c r="G172" i="1"/>
  <c r="F172" i="1"/>
  <c r="E172" i="1"/>
  <c r="D172" i="1"/>
  <c r="C172" i="1"/>
  <c r="B172" i="1"/>
  <c r="A172" i="1"/>
  <c r="O171" i="1"/>
  <c r="N171" i="1"/>
  <c r="M171" i="1"/>
  <c r="L171" i="1"/>
  <c r="K171" i="1"/>
  <c r="J171" i="1"/>
  <c r="I171" i="1"/>
  <c r="H171" i="1"/>
  <c r="G171" i="1"/>
  <c r="F171" i="1"/>
  <c r="E171" i="1"/>
  <c r="D171" i="1"/>
  <c r="C171" i="1"/>
  <c r="B171" i="1"/>
  <c r="A171" i="1"/>
  <c r="O170" i="1"/>
  <c r="N170" i="1"/>
  <c r="M170" i="1"/>
  <c r="L170" i="1"/>
  <c r="K170" i="1"/>
  <c r="J170" i="1"/>
  <c r="I170" i="1"/>
  <c r="H170" i="1"/>
  <c r="G170" i="1"/>
  <c r="F170" i="1"/>
  <c r="E170" i="1"/>
  <c r="D170" i="1"/>
  <c r="C170" i="1"/>
  <c r="B170" i="1"/>
  <c r="A170" i="1"/>
  <c r="O169" i="1"/>
  <c r="N169" i="1"/>
  <c r="M169" i="1"/>
  <c r="L169" i="1"/>
  <c r="K169" i="1"/>
  <c r="J169" i="1"/>
  <c r="I169" i="1"/>
  <c r="H169" i="1"/>
  <c r="G169" i="1"/>
  <c r="F169" i="1"/>
  <c r="E169" i="1"/>
  <c r="D169" i="1"/>
  <c r="C169" i="1"/>
  <c r="B169" i="1"/>
  <c r="A169" i="1"/>
  <c r="O168" i="1"/>
  <c r="N168" i="1"/>
  <c r="M168" i="1"/>
  <c r="L168" i="1"/>
  <c r="K168" i="1"/>
  <c r="J168" i="1"/>
  <c r="I168" i="1"/>
  <c r="H168" i="1"/>
  <c r="G168" i="1"/>
  <c r="F168" i="1"/>
  <c r="E168" i="1"/>
  <c r="D168" i="1"/>
  <c r="C168" i="1"/>
  <c r="B168" i="1"/>
  <c r="A168" i="1"/>
  <c r="O167" i="1"/>
  <c r="N167" i="1"/>
  <c r="M167" i="1"/>
  <c r="L167" i="1"/>
  <c r="K167" i="1"/>
  <c r="J167" i="1"/>
  <c r="I167" i="1"/>
  <c r="H167" i="1"/>
  <c r="G167" i="1"/>
  <c r="F167" i="1"/>
  <c r="E167" i="1"/>
  <c r="D167" i="1"/>
  <c r="C167" i="1"/>
  <c r="B167" i="1"/>
  <c r="A167" i="1"/>
  <c r="O166" i="1"/>
  <c r="N166" i="1"/>
  <c r="M166" i="1"/>
  <c r="L166" i="1"/>
  <c r="K166" i="1"/>
  <c r="J166" i="1"/>
  <c r="I166" i="1"/>
  <c r="H166" i="1"/>
  <c r="G166" i="1"/>
  <c r="F166" i="1"/>
  <c r="E166" i="1"/>
  <c r="D166" i="1"/>
  <c r="C166" i="1"/>
  <c r="B166" i="1"/>
  <c r="A166" i="1"/>
  <c r="O165" i="1"/>
  <c r="N165" i="1"/>
  <c r="M165" i="1"/>
  <c r="L165" i="1"/>
  <c r="K165" i="1"/>
  <c r="J165" i="1"/>
  <c r="I165" i="1"/>
  <c r="H165" i="1"/>
  <c r="G165" i="1"/>
  <c r="F165" i="1"/>
  <c r="E165" i="1"/>
  <c r="D165" i="1"/>
  <c r="C165" i="1"/>
  <c r="B165" i="1"/>
  <c r="A165" i="1"/>
  <c r="O164" i="1"/>
  <c r="N164" i="1"/>
  <c r="M164" i="1"/>
  <c r="L164" i="1"/>
  <c r="K164" i="1"/>
  <c r="J164" i="1"/>
  <c r="I164" i="1"/>
  <c r="H164" i="1"/>
  <c r="G164" i="1"/>
  <c r="F164" i="1"/>
  <c r="E164" i="1"/>
  <c r="D164" i="1"/>
  <c r="C164" i="1"/>
  <c r="B164" i="1"/>
  <c r="A164" i="1"/>
  <c r="O163" i="1"/>
  <c r="N163" i="1"/>
  <c r="M163" i="1"/>
  <c r="L163" i="1"/>
  <c r="K163" i="1"/>
  <c r="J163" i="1"/>
  <c r="I163" i="1"/>
  <c r="H163" i="1"/>
  <c r="G163" i="1"/>
  <c r="F163" i="1"/>
  <c r="E163" i="1"/>
  <c r="D163" i="1"/>
  <c r="C163" i="1"/>
  <c r="B163" i="1"/>
  <c r="A163" i="1"/>
  <c r="O162" i="1"/>
  <c r="N162" i="1"/>
  <c r="M162" i="1"/>
  <c r="L162" i="1"/>
  <c r="K162" i="1"/>
  <c r="J162" i="1"/>
  <c r="I162" i="1"/>
  <c r="H162" i="1"/>
  <c r="G162" i="1"/>
  <c r="F162" i="1"/>
  <c r="E162" i="1"/>
  <c r="D162" i="1"/>
  <c r="C162" i="1"/>
  <c r="B162" i="1"/>
  <c r="A162" i="1"/>
  <c r="O161" i="1"/>
  <c r="N161" i="1"/>
  <c r="M161" i="1"/>
  <c r="L161" i="1"/>
  <c r="K161" i="1"/>
  <c r="J161" i="1"/>
  <c r="I161" i="1"/>
  <c r="H161" i="1"/>
  <c r="G161" i="1"/>
  <c r="F161" i="1"/>
  <c r="E161" i="1"/>
  <c r="D161" i="1"/>
  <c r="C161" i="1"/>
  <c r="B161" i="1"/>
  <c r="A161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C160" i="1"/>
  <c r="B160" i="1"/>
  <c r="A160" i="1"/>
  <c r="O159" i="1"/>
  <c r="N159" i="1"/>
  <c r="M159" i="1"/>
  <c r="L159" i="1"/>
  <c r="K159" i="1"/>
  <c r="J159" i="1"/>
  <c r="I159" i="1"/>
  <c r="H159" i="1"/>
  <c r="G159" i="1"/>
  <c r="F159" i="1"/>
  <c r="E159" i="1"/>
  <c r="D159" i="1"/>
  <c r="C159" i="1"/>
  <c r="B159" i="1"/>
  <c r="A159" i="1"/>
  <c r="O158" i="1"/>
  <c r="N158" i="1"/>
  <c r="M158" i="1"/>
  <c r="L158" i="1"/>
  <c r="K158" i="1"/>
  <c r="J158" i="1"/>
  <c r="I158" i="1"/>
  <c r="H158" i="1"/>
  <c r="G158" i="1"/>
  <c r="F158" i="1"/>
  <c r="E158" i="1"/>
  <c r="D158" i="1"/>
  <c r="C158" i="1"/>
  <c r="B158" i="1"/>
  <c r="A158" i="1"/>
  <c r="O157" i="1"/>
  <c r="N157" i="1"/>
  <c r="M157" i="1"/>
  <c r="L157" i="1"/>
  <c r="K157" i="1"/>
  <c r="J157" i="1"/>
  <c r="I157" i="1"/>
  <c r="H157" i="1"/>
  <c r="G157" i="1"/>
  <c r="F157" i="1"/>
  <c r="E157" i="1"/>
  <c r="D157" i="1"/>
  <c r="C157" i="1"/>
  <c r="B157" i="1"/>
  <c r="A157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C156" i="1"/>
  <c r="B156" i="1"/>
  <c r="A156" i="1"/>
  <c r="O155" i="1"/>
  <c r="N155" i="1"/>
  <c r="M155" i="1"/>
  <c r="L155" i="1"/>
  <c r="K155" i="1"/>
  <c r="J155" i="1"/>
  <c r="I155" i="1"/>
  <c r="H155" i="1"/>
  <c r="G155" i="1"/>
  <c r="F155" i="1"/>
  <c r="E155" i="1"/>
  <c r="D155" i="1"/>
  <c r="C155" i="1"/>
  <c r="B155" i="1"/>
  <c r="A155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C154" i="1"/>
  <c r="B154" i="1"/>
  <c r="A154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C153" i="1"/>
  <c r="B153" i="1"/>
  <c r="A153" i="1"/>
  <c r="O152" i="1"/>
  <c r="N152" i="1"/>
  <c r="M152" i="1"/>
  <c r="L152" i="1"/>
  <c r="K152" i="1"/>
  <c r="J152" i="1"/>
  <c r="I152" i="1"/>
  <c r="H152" i="1"/>
  <c r="G152" i="1"/>
  <c r="F152" i="1"/>
  <c r="E152" i="1"/>
  <c r="D152" i="1"/>
  <c r="C152" i="1"/>
  <c r="B152" i="1"/>
  <c r="A152" i="1"/>
  <c r="O151" i="1"/>
  <c r="N151" i="1"/>
  <c r="M151" i="1"/>
  <c r="L151" i="1"/>
  <c r="K151" i="1"/>
  <c r="J151" i="1"/>
  <c r="I151" i="1"/>
  <c r="H151" i="1"/>
  <c r="G151" i="1"/>
  <c r="F151" i="1"/>
  <c r="E151" i="1"/>
  <c r="D151" i="1"/>
  <c r="C151" i="1"/>
  <c r="B151" i="1"/>
  <c r="A151" i="1"/>
  <c r="O150" i="1"/>
  <c r="N150" i="1"/>
  <c r="M150" i="1"/>
  <c r="L150" i="1"/>
  <c r="K150" i="1"/>
  <c r="J150" i="1"/>
  <c r="I150" i="1"/>
  <c r="H150" i="1"/>
  <c r="G150" i="1"/>
  <c r="F150" i="1"/>
  <c r="E150" i="1"/>
  <c r="D150" i="1"/>
  <c r="C150" i="1"/>
  <c r="B150" i="1"/>
  <c r="A150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B149" i="1"/>
  <c r="A149" i="1"/>
  <c r="O148" i="1"/>
  <c r="N148" i="1"/>
  <c r="M148" i="1"/>
  <c r="L148" i="1"/>
  <c r="K148" i="1"/>
  <c r="J148" i="1"/>
  <c r="I148" i="1"/>
  <c r="H148" i="1"/>
  <c r="G148" i="1"/>
  <c r="F148" i="1"/>
  <c r="E148" i="1"/>
  <c r="D148" i="1"/>
  <c r="C148" i="1"/>
  <c r="B148" i="1"/>
  <c r="A148" i="1"/>
  <c r="O147" i="1"/>
  <c r="N147" i="1"/>
  <c r="M147" i="1"/>
  <c r="L147" i="1"/>
  <c r="K147" i="1"/>
  <c r="J147" i="1"/>
  <c r="I147" i="1"/>
  <c r="H147" i="1"/>
  <c r="G147" i="1"/>
  <c r="F147" i="1"/>
  <c r="E147" i="1"/>
  <c r="D147" i="1"/>
  <c r="C147" i="1"/>
  <c r="B147" i="1"/>
  <c r="A147" i="1"/>
  <c r="O146" i="1"/>
  <c r="N146" i="1"/>
  <c r="M146" i="1"/>
  <c r="L146" i="1"/>
  <c r="K146" i="1"/>
  <c r="J146" i="1"/>
  <c r="I146" i="1"/>
  <c r="H146" i="1"/>
  <c r="G146" i="1"/>
  <c r="F146" i="1"/>
  <c r="E146" i="1"/>
  <c r="D146" i="1"/>
  <c r="C146" i="1"/>
  <c r="B146" i="1"/>
  <c r="A146" i="1"/>
  <c r="O145" i="1"/>
  <c r="N145" i="1"/>
  <c r="M145" i="1"/>
  <c r="L145" i="1"/>
  <c r="K145" i="1"/>
  <c r="J145" i="1"/>
  <c r="I145" i="1"/>
  <c r="H145" i="1"/>
  <c r="G145" i="1"/>
  <c r="F145" i="1"/>
  <c r="E145" i="1"/>
  <c r="D145" i="1"/>
  <c r="C145" i="1"/>
  <c r="B145" i="1"/>
  <c r="A145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C144" i="1"/>
  <c r="B144" i="1"/>
  <c r="A144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B143" i="1"/>
  <c r="A143" i="1"/>
  <c r="O142" i="1"/>
  <c r="N142" i="1"/>
  <c r="M142" i="1"/>
  <c r="L142" i="1"/>
  <c r="K142" i="1"/>
  <c r="J142" i="1"/>
  <c r="I142" i="1"/>
  <c r="H142" i="1"/>
  <c r="G142" i="1"/>
  <c r="F142" i="1"/>
  <c r="E142" i="1"/>
  <c r="D142" i="1"/>
  <c r="C142" i="1"/>
  <c r="B142" i="1"/>
  <c r="A142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C141" i="1"/>
  <c r="B141" i="1"/>
  <c r="A141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/>
  <c r="A140" i="1"/>
  <c r="O139" i="1"/>
  <c r="N139" i="1"/>
  <c r="M139" i="1"/>
  <c r="L139" i="1"/>
  <c r="K139" i="1"/>
  <c r="J139" i="1"/>
  <c r="I139" i="1"/>
  <c r="H139" i="1"/>
  <c r="G139" i="1"/>
  <c r="F139" i="1"/>
  <c r="E139" i="1"/>
  <c r="D139" i="1"/>
  <c r="C139" i="1"/>
  <c r="B139" i="1"/>
  <c r="A139" i="1"/>
  <c r="O138" i="1"/>
  <c r="N138" i="1"/>
  <c r="M138" i="1"/>
  <c r="L138" i="1"/>
  <c r="K138" i="1"/>
  <c r="J138" i="1"/>
  <c r="I138" i="1"/>
  <c r="H138" i="1"/>
  <c r="G138" i="1"/>
  <c r="F138" i="1"/>
  <c r="E138" i="1"/>
  <c r="D138" i="1"/>
  <c r="C138" i="1"/>
  <c r="B138" i="1"/>
  <c r="A138" i="1"/>
  <c r="O137" i="1"/>
  <c r="N137" i="1"/>
  <c r="M137" i="1"/>
  <c r="L137" i="1"/>
  <c r="K137" i="1"/>
  <c r="J137" i="1"/>
  <c r="I137" i="1"/>
  <c r="H137" i="1"/>
  <c r="G137" i="1"/>
  <c r="F137" i="1"/>
  <c r="E137" i="1"/>
  <c r="D137" i="1"/>
  <c r="C137" i="1"/>
  <c r="B137" i="1"/>
  <c r="A137" i="1"/>
  <c r="O136" i="1"/>
  <c r="N136" i="1"/>
  <c r="M136" i="1"/>
  <c r="L136" i="1"/>
  <c r="K136" i="1"/>
  <c r="J136" i="1"/>
  <c r="I136" i="1"/>
  <c r="H136" i="1"/>
  <c r="G136" i="1"/>
  <c r="F136" i="1"/>
  <c r="E136" i="1"/>
  <c r="D136" i="1"/>
  <c r="C136" i="1"/>
  <c r="B136" i="1"/>
  <c r="A136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C135" i="1"/>
  <c r="B135" i="1"/>
  <c r="A135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C134" i="1"/>
  <c r="B134" i="1"/>
  <c r="A134" i="1"/>
  <c r="O133" i="1"/>
  <c r="N133" i="1"/>
  <c r="M133" i="1"/>
  <c r="L133" i="1"/>
  <c r="K133" i="1"/>
  <c r="J133" i="1"/>
  <c r="I133" i="1"/>
  <c r="H133" i="1"/>
  <c r="G133" i="1"/>
  <c r="F133" i="1"/>
  <c r="E133" i="1"/>
  <c r="D133" i="1"/>
  <c r="C133" i="1"/>
  <c r="B133" i="1"/>
  <c r="A133" i="1"/>
  <c r="O132" i="1"/>
  <c r="N132" i="1"/>
  <c r="M132" i="1"/>
  <c r="L132" i="1"/>
  <c r="K132" i="1"/>
  <c r="J132" i="1"/>
  <c r="I132" i="1"/>
  <c r="H132" i="1"/>
  <c r="G132" i="1"/>
  <c r="F132" i="1"/>
  <c r="E132" i="1"/>
  <c r="D132" i="1"/>
  <c r="C132" i="1"/>
  <c r="B132" i="1"/>
  <c r="A132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B131" i="1"/>
  <c r="A131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B130" i="1"/>
  <c r="A130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C129" i="1"/>
  <c r="B129" i="1"/>
  <c r="A129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C128" i="1"/>
  <c r="B128" i="1"/>
  <c r="A128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C127" i="1"/>
  <c r="B127" i="1"/>
  <c r="A127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C126" i="1"/>
  <c r="B126" i="1"/>
  <c r="A126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C125" i="1"/>
  <c r="B125" i="1"/>
  <c r="A125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C124" i="1"/>
  <c r="B124" i="1"/>
  <c r="A124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B123" i="1"/>
  <c r="A123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C122" i="1"/>
  <c r="B122" i="1"/>
  <c r="A122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B121" i="1"/>
  <c r="A121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B120" i="1"/>
  <c r="A120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B119" i="1"/>
  <c r="A119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C118" i="1"/>
  <c r="B118" i="1"/>
  <c r="A118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B117" i="1"/>
  <c r="A117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C116" i="1"/>
  <c r="B116" i="1"/>
  <c r="A116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C115" i="1"/>
  <c r="B115" i="1"/>
  <c r="A115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B114" i="1"/>
  <c r="A114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C113" i="1"/>
  <c r="B113" i="1"/>
  <c r="A113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C112" i="1"/>
  <c r="B112" i="1"/>
  <c r="A112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C111" i="1"/>
  <c r="B111" i="1"/>
  <c r="A111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C110" i="1"/>
  <c r="B110" i="1"/>
  <c r="A110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B109" i="1"/>
  <c r="A109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B108" i="1"/>
  <c r="A108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C107" i="1"/>
  <c r="B107" i="1"/>
  <c r="A107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B106" i="1"/>
  <c r="A106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C105" i="1"/>
  <c r="B105" i="1"/>
  <c r="A105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C104" i="1"/>
  <c r="B104" i="1"/>
  <c r="A104" i="1"/>
  <c r="O103" i="1"/>
  <c r="N103" i="1"/>
  <c r="M103" i="1"/>
  <c r="L103" i="1"/>
  <c r="K103" i="1"/>
  <c r="J103" i="1"/>
  <c r="I103" i="1"/>
  <c r="H103" i="1"/>
  <c r="G103" i="1"/>
  <c r="F103" i="1"/>
  <c r="E103" i="1"/>
  <c r="D103" i="1"/>
  <c r="C103" i="1"/>
  <c r="B103" i="1"/>
  <c r="A103" i="1"/>
  <c r="O102" i="1"/>
  <c r="N102" i="1"/>
  <c r="M102" i="1"/>
  <c r="L102" i="1"/>
  <c r="K102" i="1"/>
  <c r="J102" i="1"/>
  <c r="I102" i="1"/>
  <c r="H102" i="1"/>
  <c r="G102" i="1"/>
  <c r="F102" i="1"/>
  <c r="E102" i="1"/>
  <c r="D102" i="1"/>
  <c r="C102" i="1"/>
  <c r="B102" i="1"/>
  <c r="A102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B101" i="1"/>
  <c r="A101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/>
  <c r="A100" i="1"/>
  <c r="O99" i="1"/>
  <c r="N99" i="1"/>
  <c r="M99" i="1"/>
  <c r="L99" i="1"/>
  <c r="K99" i="1"/>
  <c r="J99" i="1"/>
  <c r="I99" i="1"/>
  <c r="H99" i="1"/>
  <c r="G99" i="1"/>
  <c r="F99" i="1"/>
  <c r="E99" i="1"/>
  <c r="D99" i="1"/>
  <c r="C99" i="1"/>
  <c r="B99" i="1"/>
  <c r="A99" i="1"/>
  <c r="O98" i="1"/>
  <c r="N98" i="1"/>
  <c r="M98" i="1"/>
  <c r="L98" i="1"/>
  <c r="K98" i="1"/>
  <c r="J98" i="1"/>
  <c r="I98" i="1"/>
  <c r="H98" i="1"/>
  <c r="G98" i="1"/>
  <c r="F98" i="1"/>
  <c r="E98" i="1"/>
  <c r="D98" i="1"/>
  <c r="C98" i="1"/>
  <c r="B98" i="1"/>
  <c r="A98" i="1"/>
  <c r="O97" i="1"/>
  <c r="N97" i="1"/>
  <c r="M97" i="1"/>
  <c r="L97" i="1"/>
  <c r="K97" i="1"/>
  <c r="J97" i="1"/>
  <c r="I97" i="1"/>
  <c r="H97" i="1"/>
  <c r="G97" i="1"/>
  <c r="F97" i="1"/>
  <c r="E97" i="1"/>
  <c r="D97" i="1"/>
  <c r="C97" i="1"/>
  <c r="B97" i="1"/>
  <c r="A97" i="1"/>
  <c r="O96" i="1"/>
  <c r="N96" i="1"/>
  <c r="M96" i="1"/>
  <c r="L96" i="1"/>
  <c r="K96" i="1"/>
  <c r="J96" i="1"/>
  <c r="I96" i="1"/>
  <c r="H96" i="1"/>
  <c r="G96" i="1"/>
  <c r="F96" i="1"/>
  <c r="E96" i="1"/>
  <c r="D96" i="1"/>
  <c r="C96" i="1"/>
  <c r="B96" i="1"/>
  <c r="A96" i="1"/>
  <c r="O95" i="1"/>
  <c r="N95" i="1"/>
  <c r="M95" i="1"/>
  <c r="L95" i="1"/>
  <c r="K95" i="1"/>
  <c r="J95" i="1"/>
  <c r="I95" i="1"/>
  <c r="H95" i="1"/>
  <c r="G95" i="1"/>
  <c r="F95" i="1"/>
  <c r="E95" i="1"/>
  <c r="D95" i="1"/>
  <c r="C95" i="1"/>
  <c r="B95" i="1"/>
  <c r="A95" i="1"/>
  <c r="O94" i="1"/>
  <c r="N94" i="1"/>
  <c r="M94" i="1"/>
  <c r="L94" i="1"/>
  <c r="K94" i="1"/>
  <c r="J94" i="1"/>
  <c r="I94" i="1"/>
  <c r="H94" i="1"/>
  <c r="G94" i="1"/>
  <c r="F94" i="1"/>
  <c r="E94" i="1"/>
  <c r="D94" i="1"/>
  <c r="C94" i="1"/>
  <c r="B94" i="1"/>
  <c r="A94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B93" i="1"/>
  <c r="A93" i="1"/>
  <c r="O92" i="1"/>
  <c r="N92" i="1"/>
  <c r="M92" i="1"/>
  <c r="L92" i="1"/>
  <c r="K92" i="1"/>
  <c r="J92" i="1"/>
  <c r="I92" i="1"/>
  <c r="H92" i="1"/>
  <c r="G92" i="1"/>
  <c r="F92" i="1"/>
  <c r="E92" i="1"/>
  <c r="D92" i="1"/>
  <c r="C92" i="1"/>
  <c r="B92" i="1"/>
  <c r="A92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B91" i="1"/>
  <c r="A91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90" i="1"/>
  <c r="A90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/>
  <c r="A89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B88" i="1"/>
  <c r="A88" i="1"/>
  <c r="O87" i="1"/>
  <c r="N87" i="1"/>
  <c r="M87" i="1"/>
  <c r="L87" i="1"/>
  <c r="K87" i="1"/>
  <c r="J87" i="1"/>
  <c r="I87" i="1"/>
  <c r="H87" i="1"/>
  <c r="G87" i="1"/>
  <c r="F87" i="1"/>
  <c r="E87" i="1"/>
  <c r="D87" i="1"/>
  <c r="C87" i="1"/>
  <c r="B87" i="1"/>
  <c r="A87" i="1"/>
  <c r="O86" i="1"/>
  <c r="N86" i="1"/>
  <c r="M86" i="1"/>
  <c r="L86" i="1"/>
  <c r="K86" i="1"/>
  <c r="J86" i="1"/>
  <c r="I86" i="1"/>
  <c r="H86" i="1"/>
  <c r="G86" i="1"/>
  <c r="F86" i="1"/>
  <c r="E86" i="1"/>
  <c r="D86" i="1"/>
  <c r="C86" i="1"/>
  <c r="B86" i="1"/>
  <c r="A86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/>
  <c r="A85" i="1"/>
  <c r="O84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/>
  <c r="A84" i="1"/>
  <c r="O83" i="1"/>
  <c r="N83" i="1"/>
  <c r="M83" i="1"/>
  <c r="L83" i="1"/>
  <c r="K83" i="1"/>
  <c r="J83" i="1"/>
  <c r="I83" i="1"/>
  <c r="H83" i="1"/>
  <c r="G83" i="1"/>
  <c r="F83" i="1"/>
  <c r="E83" i="1"/>
  <c r="D83" i="1"/>
  <c r="C83" i="1"/>
  <c r="B83" i="1"/>
  <c r="A83" i="1"/>
  <c r="O82" i="1"/>
  <c r="N82" i="1"/>
  <c r="M82" i="1"/>
  <c r="L82" i="1"/>
  <c r="K82" i="1"/>
  <c r="J82" i="1"/>
  <c r="I82" i="1"/>
  <c r="H82" i="1"/>
  <c r="G82" i="1"/>
  <c r="F82" i="1"/>
  <c r="E82" i="1"/>
  <c r="D82" i="1"/>
  <c r="C82" i="1"/>
  <c r="B82" i="1"/>
  <c r="A82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A81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A80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/>
  <c r="A79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B78" i="1"/>
  <c r="A78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A77" i="1"/>
  <c r="O76" i="1"/>
  <c r="N76" i="1"/>
  <c r="M76" i="1"/>
  <c r="L76" i="1"/>
  <c r="K76" i="1"/>
  <c r="J76" i="1"/>
  <c r="I76" i="1"/>
  <c r="H76" i="1"/>
  <c r="G76" i="1"/>
  <c r="F76" i="1"/>
  <c r="E76" i="1"/>
  <c r="D76" i="1"/>
  <c r="C76" i="1"/>
  <c r="B76" i="1"/>
  <c r="A76" i="1"/>
  <c r="O75" i="1"/>
  <c r="N75" i="1"/>
  <c r="M75" i="1"/>
  <c r="L75" i="1"/>
  <c r="K75" i="1"/>
  <c r="J75" i="1"/>
  <c r="I75" i="1"/>
  <c r="H75" i="1"/>
  <c r="G75" i="1"/>
  <c r="F75" i="1"/>
  <c r="E75" i="1"/>
  <c r="D75" i="1"/>
  <c r="C75" i="1"/>
  <c r="B75" i="1"/>
  <c r="A75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/>
  <c r="A74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A73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/>
  <c r="A72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/>
  <c r="A71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A70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A69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/>
  <c r="A68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A67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/>
  <c r="A66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A65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A64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A63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A62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A61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60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A59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A58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A57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A56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55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A54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A53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52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A51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A50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A49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A48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47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46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A45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A44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43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42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A41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40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39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A38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37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36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34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33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32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31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29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28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27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26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25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24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23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22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21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20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19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18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17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15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14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13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12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11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10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9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8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7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6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A5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4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A3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</calcChain>
</file>

<file path=xl/sharedStrings.xml><?xml version="1.0" encoding="utf-8"?>
<sst xmlns="http://schemas.openxmlformats.org/spreadsheetml/2006/main" count="15" uniqueCount="15">
  <si>
    <t>代碼</t>
  </si>
  <si>
    <t>商品</t>
  </si>
  <si>
    <t>成交</t>
  </si>
  <si>
    <t>均價</t>
  </si>
  <si>
    <t>漲幅%</t>
  </si>
  <si>
    <t>內外盤比%</t>
  </si>
  <si>
    <t>昨量比</t>
  </si>
  <si>
    <t>量比</t>
  </si>
  <si>
    <t>五日均量</t>
  </si>
  <si>
    <t>外盤特大單%</t>
  </si>
  <si>
    <t>特大單差%</t>
  </si>
  <si>
    <t>大單差%</t>
  </si>
  <si>
    <t>產業</t>
  </si>
  <si>
    <t>股本</t>
  </si>
  <si>
    <t>時間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</si>
</sst>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XQLITE" ddeTopic="Quote">
    <ddeItems>
      <ddeItem name="1101.TW-5DayAvgVol" advise="1">
        <values>
          <value>
            <val>10392</val>
          </value>
        </values>
      </ddeItem>
      <ddeItem name="1101.TW-AvgPrice" advise="1">
        <values>
          <value>
            <val>50</val>
          </value>
        </values>
      </ddeItem>
      <ddeItem name="1101.TW-Capital" advise="1">
        <values>
          <value t="str">
            <val>612.42</val>
          </value>
        </values>
      </ddeItem>
      <ddeItem name="1101.TW-DLOrderValueDiffRatio" advise="1">
        <values>
          <value>
            <val>0.69</val>
          </value>
        </values>
      </ddeItem>
      <ddeItem name="1101.TW-DXLOrderOutValueRatio" advise="1">
        <values>
          <value>
            <val>8.33</val>
          </value>
        </values>
      </ddeItem>
      <ddeItem name="1101.TW-DXLOrderValueDiffRatio" advise="1">
        <values>
          <value>
            <val>-22.26</val>
          </value>
        </values>
      </ddeItem>
      <ddeItem name="1101.TW-ExchangeIndustry" advise="1">
        <values>
          <value t="str">
            <val>上市水泥</val>
          </value>
        </values>
      </ddeItem>
      <ddeItem name="1101.TW-ID" advise="1">
        <values>
          <value t="str">
            <val>1101</val>
          </value>
        </values>
      </ddeItem>
      <ddeItem name="1101.TW-InOutRatioNumber" advise="1">
        <values>
          <value t="str">
            <val>27.50%</val>
          </value>
        </values>
      </ddeItem>
      <ddeItem name="1101.TW-Name" advise="1">
        <values>
          <value t="str">
            <val>台泥</val>
          </value>
        </values>
      </ddeItem>
      <ddeItem name="1101.TW-PreTotalVolumeRate" advise="1">
        <values>
          <value>
            <val>0.25</val>
          </value>
        </values>
      </ddeItem>
      <ddeItem name="1101.TW-Price" advise="1">
        <values>
          <value>
            <val>49.95</val>
          </value>
        </values>
      </ddeItem>
      <ddeItem name="1101.TW-PriceChangeRatio" advise="1">
        <values>
          <value>
            <val>-0.3</val>
          </value>
        </values>
      </ddeItem>
      <ddeItem name="1101.TW-Time" advise="1">
        <values>
          <value t="str">
            <val>10:15:17</val>
          </value>
        </values>
      </ddeItem>
      <ddeItem name="1101.TW-VolumeRatio" advise="1">
        <values>
          <value>
            <val>0.56999999999999995</val>
          </value>
        </values>
      </ddeItem>
      <ddeItem name="1102.TW-5DayAvgVol" advise="1">
        <values>
          <value>
            <val>4411</val>
          </value>
        </values>
      </ddeItem>
      <ddeItem name="1102.TW-AvgPrice" advise="1">
        <values>
          <value>
            <val>45.59</val>
          </value>
        </values>
      </ddeItem>
      <ddeItem name="1102.TW-Capital" advise="1">
        <values>
          <value t="str">
            <val>359.82</val>
          </value>
        </values>
      </ddeItem>
      <ddeItem name="1102.TW-DLOrderValueDiffRatio" advise="1">
        <values>
          <value>
            <val>0.4</val>
          </value>
        </values>
      </ddeItem>
      <ddeItem name="1102.TW-DXLOrderOutValueRatio" advise="1">
        <values>
          <value>
            <val>37.93</val>
          </value>
        </values>
      </ddeItem>
      <ddeItem name="1102.TW-DXLOrderValueDiffRatio" advise="1">
        <values>
          <value>
            <val>21.14</val>
          </value>
        </values>
      </ddeItem>
      <ddeItem name="1102.TW-ExchangeIndustry" advise="1">
        <values>
          <value t="str">
            <val>上市水泥</val>
          </value>
        </values>
      </ddeItem>
      <ddeItem name="1102.TW-ID" advise="1">
        <values>
          <value t="str">
            <val>1102</val>
          </value>
        </values>
      </ddeItem>
      <ddeItem name="1102.TW-InOutRatioNumber" advise="1">
        <values>
          <value t="str">
            <val>59.01%</val>
          </value>
        </values>
      </ddeItem>
      <ddeItem name="1102.TW-Name" advise="1">
        <values>
          <value t="str">
            <val>亞泥</val>
          </value>
        </values>
      </ddeItem>
      <ddeItem name="1102.TW-PreTotalVolumeRate" advise="1">
        <values>
          <value>
            <val>0.28999999999999998</val>
          </value>
        </values>
      </ddeItem>
      <ddeItem name="1102.TW-Price" advise="1">
        <values>
          <value>
            <val>45.6</val>
          </value>
        </values>
      </ddeItem>
      <ddeItem name="1102.TW-PriceChangeRatio" advise="1">
        <values>
          <value>
            <val>0.22</val>
          </value>
        </values>
      </ddeItem>
      <ddeItem name="1102.TW-Time" advise="1">
        <values>
          <value t="str">
            <val>10:14:49</val>
          </value>
        </values>
      </ddeItem>
      <ddeItem name="1102.TW-VolumeRatio" advise="1">
        <values>
          <value>
            <val>0.8</val>
          </value>
        </values>
      </ddeItem>
      <ddeItem name="1103.TW-5DayAvgVol" advise="1">
        <values>
          <value>
            <val>2921</val>
          </value>
        </values>
      </ddeItem>
      <ddeItem name="1103.TW-AvgPrice" advise="1">
        <values>
          <value>
            <val>20.39</val>
          </value>
        </values>
      </ddeItem>
      <ddeItem name="1103.TW-Capital" advise="1">
        <values>
          <value t="str">
            <val>77.48</val>
          </value>
        </values>
      </ddeItem>
      <ddeItem name="1103.TW-DLOrderValueDiffRatio" advise="1">
        <values>
          <value>
            <val>28.41</val>
          </value>
        </values>
      </ddeItem>
      <ddeItem name="1103.TW-DXLOrderOutValueRatio" advise="1">
        <values>
          <value>
            <val>0</val>
          </value>
        </values>
      </ddeItem>
      <ddeItem name="1103.TW-DXLOrderValueDiffRatio" advise="1">
        <values>
          <value>
            <val>0</val>
          </value>
        </values>
      </ddeItem>
      <ddeItem name="1103.TW-ExchangeIndustry" advise="1">
        <values>
          <value t="str">
            <val>上市水泥</val>
          </value>
        </values>
      </ddeItem>
      <ddeItem name="1103.TW-ID" advise="1">
        <values>
          <value t="str">
            <val>1103</val>
          </value>
        </values>
      </ddeItem>
      <ddeItem name="1103.TW-InOutRatioNumber" advise="1">
        <values>
          <value t="str">
            <val>58.67%</val>
          </value>
        </values>
      </ddeItem>
      <ddeItem name="1103.TW-Name" advise="1">
        <values>
          <value t="str">
            <val>嘉泥</val>
          </value>
        </values>
      </ddeItem>
      <ddeItem name="1103.TW-PreTotalVolumeRate" advise="1">
        <values>
          <value>
            <val>0.22</val>
          </value>
        </values>
      </ddeItem>
      <ddeItem name="1103.TW-Price" advise="1">
        <values>
          <value>
            <val>20.399999999999999</val>
          </value>
        </values>
      </ddeItem>
      <ddeItem name="1103.TW-PriceChangeRatio" advise="1">
        <values>
          <value>
            <val>0.25</val>
          </value>
        </values>
      </ddeItem>
      <ddeItem name="1103.TW-Time" advise="1">
        <values>
          <value t="str">
            <val>10:13:03</val>
          </value>
        </values>
      </ddeItem>
      <ddeItem name="1103.TW-VolumeRatio" advise="1">
        <values>
          <value>
            <val>0.5</val>
          </value>
        </values>
      </ddeItem>
      <ddeItem name="1104.TW-5DayAvgVol" advise="1">
        <values>
          <value>
            <val>593</val>
          </value>
        </values>
      </ddeItem>
      <ddeItem name="1104.TW-AvgPrice" advise="1">
        <values>
          <value>
            <val>20.6</val>
          </value>
        </values>
      </ddeItem>
      <ddeItem name="1104.TW-Capital" advise="1">
        <values>
          <value t="str">
            <val>65.36</val>
          </value>
        </values>
      </ddeItem>
      <ddeItem name="1104.TW-DLOrderValueDiffRatio" advise="1">
        <values>
          <value>
            <val>-25.9</val>
          </value>
        </values>
      </ddeItem>
      <ddeItem name="1104.TW-DXLOrderOutValueRatio" advise="1">
        <values>
          <value>
            <val>0</val>
          </value>
        </values>
      </ddeItem>
      <ddeItem name="1104.TW-DXLOrderValueDiffRatio" advise="1">
        <values>
          <value>
            <val>-34.659999999999997</val>
          </value>
        </values>
      </ddeItem>
      <ddeItem name="1104.TW-ExchangeIndustry" advise="1">
        <values>
          <value t="str">
            <val>上市水泥</val>
          </value>
        </values>
      </ddeItem>
      <ddeItem name="1104.TW-ID" advise="1">
        <values>
          <value t="str">
            <val>1104</val>
          </value>
        </values>
      </ddeItem>
      <ddeItem name="1104.TW-InOutRatioNumber" advise="1">
        <values>
          <value t="str">
            <val>8.95%</val>
          </value>
        </values>
      </ddeItem>
      <ddeItem name="1104.TW-Name" advise="1">
        <values>
          <value t="str">
            <val>環泥</val>
          </value>
        </values>
      </ddeItem>
      <ddeItem name="1104.TW-PreTotalVolumeRate" advise="1">
        <values>
          <value>
            <val>0.25</val>
          </value>
        </values>
      </ddeItem>
      <ddeItem name="1104.TW-Price" advise="1">
        <values>
          <value>
            <val>20.7</val>
          </value>
        </values>
      </ddeItem>
      <ddeItem name="1104.TW-PriceChangeRatio" advise="1">
        <values>
          <value>
            <val>0.24</val>
          </value>
        </values>
      </ddeItem>
      <ddeItem name="1104.TW-Time" advise="1">
        <values>
          <value t="str">
            <val>10:09:20</val>
          </value>
        </values>
      </ddeItem>
      <ddeItem name="1104.TW-VolumeRatio" advise="1">
        <values>
          <value>
            <val>1.43</val>
          </value>
        </values>
      </ddeItem>
      <ddeItem name="1108.TW-5DayAvgVol" advise="1">
        <values>
          <value>
            <val>155</val>
          </value>
        </values>
      </ddeItem>
      <ddeItem name="1108.TW-AvgPrice" advise="1">
        <values>
          <value>
            <val>11.81</val>
          </value>
        </values>
      </ddeItem>
      <ddeItem name="1108.TW-Capital" advise="1">
        <values>
          <value t="str">
            <val>40.47</val>
          </value>
        </values>
      </ddeItem>
      <ddeItem name="1108.TW-DLOrderValueDiffRatio" advise="1">
        <values>
          <value>
            <val>0</val>
          </value>
        </values>
      </ddeItem>
      <ddeItem name="1108.TW-DXLOrderOutValueRatio" advise="1">
        <values>
          <value>
            <val>0</val>
          </value>
        </values>
      </ddeItem>
      <ddeItem name="1108.TW-DXLOrderValueDiffRatio" advise="1">
        <values>
          <value>
            <val>0</val>
          </value>
        </values>
      </ddeItem>
      <ddeItem name="1108.TW-ExchangeIndustry" advise="1">
        <values>
          <value t="str">
            <val>上市水泥</val>
          </value>
        </values>
      </ddeItem>
      <ddeItem name="1108.TW-ID" advise="1">
        <values>
          <value t="str">
            <val>1108</val>
          </value>
        </values>
      </ddeItem>
      <ddeItem name="1108.TW-InOutRatioNumber" advise="1">
        <values>
          <value t="str">
            <val>50.00%</val>
          </value>
        </values>
      </ddeItem>
      <ddeItem name="1108.TW-Name" advise="1">
        <values>
          <value t="str">
            <val>幸福</val>
          </value>
        </values>
      </ddeItem>
      <ddeItem name="1108.TW-PreTotalVolumeRate" advise="1">
        <values>
          <value>
            <val>0.27</val>
          </value>
        </values>
      </ddeItem>
      <ddeItem name="1108.TW-Price" advise="1">
        <values>
          <value>
            <val>11.85</val>
          </value>
        </values>
      </ddeItem>
      <ddeItem name="1108.TW-PriceChangeRatio" advise="1">
        <values>
          <value>
            <val>0.85</val>
          </value>
        </values>
      </ddeItem>
      <ddeItem name="1108.TW-Time" advise="1">
        <values>
          <value t="str">
            <val>09:51:24</val>
          </value>
        </values>
      </ddeItem>
      <ddeItem name="1108.TW-VolumeRatio" advise="1">
        <values>
          <value>
            <val>0.56000000000000005</val>
          </value>
        </values>
      </ddeItem>
      <ddeItem name="1109.TW-5DayAvgVol" advise="1">
        <values>
          <value>
            <val>710</val>
          </value>
        </values>
      </ddeItem>
      <ddeItem name="1109.TW-AvgPrice" advise="1">
        <values>
          <value>
            <val>21.18</val>
          </value>
        </values>
      </ddeItem>
      <ddeItem name="1109.TW-Capital" advise="1">
        <values>
          <value t="str">
            <val>34.20</val>
          </value>
        </values>
      </ddeItem>
      <ddeItem name="1109.TW-DLOrderValueDiffRatio" advise="1">
        <values>
          <value>
            <val>0</val>
          </value>
        </values>
      </ddeItem>
      <ddeItem name="1109.TW-DXLOrderOutValueRatio" advise="1">
        <values>
          <value>
            <val>0</val>
          </value>
        </values>
      </ddeItem>
      <ddeItem name="1109.TW-DXLOrderValueDiffRatio" advise="1">
        <values>
          <value>
            <val>0</val>
          </value>
        </values>
      </ddeItem>
      <ddeItem name="1109.TW-ExchangeIndustry" advise="1">
        <values>
          <value t="str">
            <val>上市水泥</val>
          </value>
        </values>
      </ddeItem>
      <ddeItem name="1109.TW-ID" advise="1">
        <values>
          <value t="str">
            <val>1109</val>
          </value>
        </values>
      </ddeItem>
      <ddeItem name="1109.TW-InOutRatioNumber" advise="1">
        <values>
          <value t="str">
            <val>89.77%</val>
          </value>
        </values>
      </ddeItem>
      <ddeItem name="1109.TW-Name" advise="1">
        <values>
          <value t="str">
            <val>信大</val>
          </value>
        </values>
      </ddeItem>
      <ddeItem name="1109.TW-PreTotalVolumeRate" advise="1">
        <values>
          <value>
            <val>0.2</val>
          </value>
        </values>
      </ddeItem>
      <ddeItem name="1109.TW-Price" advise="1">
        <values>
          <value>
            <val>21.1</val>
          </value>
        </values>
      </ddeItem>
      <ddeItem name="1109.TW-PriceChangeRatio" advise="1">
        <values>
          <value>
            <val>-0.24</val>
          </value>
        </values>
      </ddeItem>
      <ddeItem name="1109.TW-Time" advise="1">
        <values>
          <value t="str">
            <val>10:12:44</val>
          </value>
        </values>
      </ddeItem>
      <ddeItem name="1109.TW-VolumeRatio" advise="1">
        <values>
          <value>
            <val>0.54</val>
          </value>
        </values>
      </ddeItem>
      <ddeItem name="1110.TW-5DayAvgVol" advise="1">
        <values>
          <value>
            <val>686</val>
          </value>
        </values>
      </ddeItem>
      <ddeItem name="1110.TW-AvgPrice" advise="1">
        <values>
          <value>
            <val>20.2</val>
          </value>
        </values>
      </ddeItem>
      <ddeItem name="1110.TW-Capital" advise="1">
        <values>
          <value t="str">
            <val>57.20</val>
          </value>
        </values>
      </ddeItem>
      <ddeItem name="1110.TW-DLOrderValueDiffRatio" advise="1">
        <values>
          <value>
            <val>0</val>
          </value>
        </values>
      </ddeItem>
      <ddeItem name="1110.TW-DXLOrderOutValueRatio" advise="1">
        <values>
          <value>
            <val>0</val>
          </value>
        </values>
      </ddeItem>
      <ddeItem name="1110.TW-DXLOrderValueDiffRatio" advise="1">
        <values>
          <value>
            <val>0</val>
          </value>
        </values>
      </ddeItem>
      <ddeItem name="1110.TW-ExchangeIndustry" advise="1">
        <values>
          <value t="str">
            <val>上市水泥</val>
          </value>
        </values>
      </ddeItem>
      <ddeItem name="1110.TW-ID" advise="1">
        <values>
          <value t="str">
            <val>1110</val>
          </value>
        </values>
      </ddeItem>
      <ddeItem name="1110.TW-InOutRatioNumber" advise="1">
        <values>
          <value t="str">
            <val>58.88%</val>
          </value>
        </values>
      </ddeItem>
      <ddeItem name="1110.TW-Name" advise="1">
        <values>
          <value t="str">
            <val>東泥</val>
          </value>
        </values>
      </ddeItem>
      <ddeItem name="1110.TW-PreTotalVolumeRate" advise="1">
        <values>
          <value>
            <val>0.32</val>
          </value>
        </values>
      </ddeItem>
      <ddeItem name="1110.TW-Price" advise="1">
        <values>
          <value>
            <val>20.100000000000001</val>
          </value>
        </values>
      </ddeItem>
      <ddeItem name="1110.TW-PriceChangeRatio" advise="1">
        <values>
          <value>
            <val>-0.74</val>
          </value>
        </values>
      </ddeItem>
      <ddeItem name="1110.TW-Time" advise="1">
        <values>
          <value t="str">
            <val>10:13:31</val>
          </value>
        </values>
      </ddeItem>
      <ddeItem name="1110.TW-VolumeRatio" advise="1">
        <values>
          <value>
            <val>0.68</val>
          </value>
        </values>
      </ddeItem>
      <ddeItem name="1201.TW-5DayAvgVol" advise="1">
        <values>
          <value>
            <val>3124</val>
          </value>
        </values>
      </ddeItem>
      <ddeItem name="1201.TW-AvgPrice" advise="1">
        <values>
          <value>
            <val>23.6</val>
          </value>
        </values>
      </ddeItem>
      <ddeItem name="1201.TW-Capital" advise="1">
        <values>
          <value t="str">
            <val>50.61</val>
          </value>
        </values>
      </ddeItem>
      <ddeItem name="1201.TW-DLOrderValueDiffRatio" advise="1">
        <values>
          <value>
            <val>16.22</val>
          </value>
        </values>
      </ddeItem>
      <ddeItem name="1201.TW-DXLOrderOutValueRatio" advise="1">
        <values>
          <value>
            <val>24.34</val>
          </value>
        </values>
      </ddeItem>
      <ddeItem name="1201.TW-DXLOrderValueDiffRatio" advise="1">
        <values>
          <value>
            <val>22.95</val>
          </value>
        </values>
      </ddeItem>
      <ddeItem name="1201.TW-ExchangeIndustry" advise="1">
        <values>
          <value t="str">
            <val>上市食品</val>
          </value>
        </values>
      </ddeItem>
      <ddeItem name="1201.TW-ID" advise="1">
        <values>
          <value t="str">
            <val>1201</val>
          </value>
        </values>
      </ddeItem>
      <ddeItem name="1201.TW-InOutRatioNumber" advise="1">
        <values>
          <value t="str">
            <val>86.11%</val>
          </value>
        </values>
      </ddeItem>
      <ddeItem name="1201.TW-Name" advise="1">
        <values>
          <value t="str">
            <val>味全</val>
          </value>
        </values>
      </ddeItem>
      <ddeItem name="1201.TW-PreTotalVolumeRate" advise="1">
        <values>
          <value>
            <val>1.4</val>
          </value>
        </values>
      </ddeItem>
      <ddeItem name="1201.TW-Price" advise="1">
        <values>
          <value>
            <val>23.85</val>
          </value>
        </values>
      </ddeItem>
      <ddeItem name="1201.TW-PriceChangeRatio" advise="1">
        <values>
          <value>
            <val>2.8</val>
          </value>
        </values>
      </ddeItem>
      <ddeItem name="1201.TW-Time" advise="1">
        <values>
          <value t="str">
            <val>10:15:11</val>
          </value>
        </values>
      </ddeItem>
      <ddeItem name="1201.TW-VolumeRatio" advise="1">
        <values>
          <value>
            <val>3.75</val>
          </value>
        </values>
      </ddeItem>
      <ddeItem name="1203.TW-5DayAvgVol" advise="1">
        <values>
          <value>
            <val>21</val>
          </value>
        </values>
      </ddeItem>
      <ddeItem name="1203.TW-AvgPrice" advise="1">
        <values>
          <value>
            <val>31.91</val>
          </value>
        </values>
      </ddeItem>
      <ddeItem name="1203.TW-Capital" advise="1">
        <values>
          <value t="str">
            <val>24.00</val>
          </value>
        </values>
      </ddeItem>
      <ddeItem name="1203.TW-DLOrderValueDiffRatio" advise="1">
        <values>
          <value>
            <val>0</val>
          </value>
        </values>
      </ddeItem>
      <ddeItem name="1203.TW-DXLOrderOutValueRatio" advise="1">
        <values>
          <value>
            <val>0</val>
          </value>
        </values>
      </ddeItem>
      <ddeItem name="1203.TW-DXLOrderValueDiffRatio" advise="1">
        <values>
          <value>
            <val>0</val>
          </value>
        </values>
      </ddeItem>
      <ddeItem name="1203.TW-ExchangeIndustry" advise="1">
        <values>
          <value t="str">
            <val>上市食品</val>
          </value>
        </values>
      </ddeItem>
      <ddeItem name="1203.TW-ID" advise="1">
        <values>
          <value t="str">
            <val>1203</val>
          </value>
        </values>
      </ddeItem>
      <ddeItem name="1203.TW-InOutRatioNumber" advise="1">
        <values>
          <value t="str">
            <val>57.89%</val>
          </value>
        </values>
      </ddeItem>
      <ddeItem name="1203.TW-Name" advise="1">
        <values>
          <value t="str">
            <val>味王</val>
          </value>
        </values>
      </ddeItem>
      <ddeItem name="1203.TW-PreTotalVolumeRate" advise="1">
        <values>
          <value>
            <val>1.46</val>
          </value>
        </values>
      </ddeItem>
      <ddeItem name="1203.TW-Price" advise="1">
        <values>
          <value>
            <val>32</val>
          </value>
        </values>
      </ddeItem>
      <ddeItem name="1203.TW-PriceChangeRatio" advise="1">
        <values>
          <value>
            <val>-0.62</val>
          </value>
        </values>
      </ddeItem>
      <ddeItem name="1203.TW-Time" advise="1">
        <values>
          <value t="str">
            <val>09:51:09</val>
          </value>
        </values>
      </ddeItem>
      <ddeItem name="1203.TW-VolumeRatio" advise="1">
        <values>
          <value>
            <val>0</val>
          </value>
        </values>
      </ddeItem>
      <ddeItem name="1210.TW-5DayAvgVol" advise="1">
        <values>
          <value>
            <val>1006</val>
          </value>
        </values>
      </ddeItem>
      <ddeItem name="1210.TW-AvgPrice" advise="1">
        <values>
          <value>
            <val>54.15</val>
          </value>
        </values>
      </ddeItem>
      <ddeItem name="1210.TW-Capital" advise="1">
        <values>
          <value t="str">
            <val>85.22</val>
          </value>
        </values>
      </ddeItem>
      <ddeItem name="1210.TW-DLOrderValueDiffRatio" advise="1">
        <values>
          <value>
            <val>12.58</val>
          </value>
        </values>
      </ddeItem>
      <ddeItem name="1210.TW-DXLOrderOutValueRatio" advise="1">
        <values>
          <value>
            <val>21.03</val>
          </value>
        </values>
      </ddeItem>
      <ddeItem name="1210.TW-DXLOrderValueDiffRatio" advise="1">
        <values>
          <value>
            <val>21.03</val>
          </value>
        </values>
      </ddeItem>
      <ddeItem name="1210.TW-ExchangeIndustry" advise="1">
        <values>
          <value t="str">
            <val>上市食品</val>
          </value>
        </values>
      </ddeItem>
      <ddeItem name="1210.TW-ID" advise="1">
        <values>
          <value t="str">
            <val>1210</val>
          </value>
        </values>
      </ddeItem>
      <ddeItem name="1210.TW-InOutRatioNumber" advise="1">
        <values>
          <value t="str">
            <val>77.23%</val>
          </value>
        </values>
      </ddeItem>
      <ddeItem name="1210.TW-Name" advise="1">
        <values>
          <value t="str">
            <val>大成</val>
          </value>
        </values>
      </ddeItem>
      <ddeItem name="1210.TW-PreTotalVolumeRate" advise="1">
        <values>
          <value>
            <val>0.43</val>
          </value>
        </values>
      </ddeItem>
      <ddeItem name="1210.TW-Price" advise="1">
        <values>
          <value>
            <val>54.4</val>
          </value>
        </values>
      </ddeItem>
      <ddeItem name="1210.TW-PriceChangeRatio" advise="1">
        <values>
          <value>
            <val>1.1200000000000001</val>
          </value>
        </values>
      </ddeItem>
      <ddeItem name="1210.TW-Time" advise="1">
        <values>
          <value t="str">
            <val>10:15:13</val>
          </value>
        </values>
      </ddeItem>
      <ddeItem name="1210.TW-VolumeRatio" advise="1">
        <values>
          <value>
            <val>1.08</val>
          </value>
        </values>
      </ddeItem>
      <ddeItem name="1213.TW-5DayAvgVol" advise="1">
        <values>
          <value>
            <val>21</val>
          </value>
        </values>
      </ddeItem>
      <ddeItem name="1213.TW-AvgPrice" advise="1">
        <values>
          <value t="str">
            <val>--</val>
          </value>
        </values>
      </ddeItem>
      <ddeItem name="1213.TW-Capital" advise="1">
        <values>
          <value t="str">
            <val>5.66</val>
          </value>
        </values>
      </ddeItem>
      <ddeItem name="1213.TW-DLOrderValueDiffRatio" advise="1">
        <values>
          <value>
            <val>0</val>
          </value>
        </values>
      </ddeItem>
      <ddeItem name="1213.TW-DXLOrderOutValueRatio" advise="1">
        <values>
          <value>
            <val>0</val>
          </value>
        </values>
      </ddeItem>
      <ddeItem name="1213.TW-DXLOrderValueDiffRatio" advise="1">
        <values>
          <value>
            <val>0</val>
          </value>
        </values>
      </ddeItem>
      <ddeItem name="1213.TW-ExchangeIndustry" advise="1">
        <values>
          <value t="str">
            <val>上市食品</val>
          </value>
        </values>
      </ddeItem>
      <ddeItem name="1213.TW-ID" advise="1">
        <values>
          <value t="str">
            <val>1213</val>
          </value>
        </values>
      </ddeItem>
      <ddeItem name="1213.TW-InOutRatioNumber" advise="1">
        <values>
          <value t="str">
            <val>--</val>
          </value>
        </values>
      </ddeItem>
      <ddeItem name="1213.TW-Name" advise="1">
        <values>
          <value t="str">
            <val>大飲</val>
          </value>
        </values>
      </ddeItem>
      <ddeItem name="1213.TW-PreTotalVolumeRate" advise="1">
        <values>
          <value t="str">
            <val>--</val>
          </value>
        </values>
      </ddeItem>
      <ddeItem name="1213.TW-Price" advise="1">
        <values>
          <value t="str">
            <val>--</val>
          </value>
        </values>
      </ddeItem>
      <ddeItem name="1213.TW-PriceChangeRatio" advise="1">
        <values>
          <value t="str">
            <val>--</val>
          </value>
        </values>
      </ddeItem>
      <ddeItem name="1213.TW-Time" advise="1">
        <values>
          <value t="str">
            <val>--</val>
          </value>
        </values>
      </ddeItem>
      <ddeItem name="1213.TW-VolumeRatio" advise="1">
        <values>
          <value>
            <val>0</val>
          </value>
        </values>
      </ddeItem>
      <ddeItem name="1215.TW-5DayAvgVol" advise="1">
        <values>
          <value>
            <val>263</val>
          </value>
        </values>
      </ddeItem>
      <ddeItem name="1215.TW-AvgPrice" advise="1">
        <values>
          <value>
            <val>79.53</val>
          </value>
        </values>
      </ddeItem>
      <ddeItem name="1215.TW-Capital" advise="1">
        <values>
          <value t="str">
            <val>26.80</val>
          </value>
        </values>
      </ddeItem>
      <ddeItem name="1215.TW-DLOrderValueDiffRatio" advise="1">
        <values>
          <value>
            <val>11</val>
          </value>
        </values>
      </ddeItem>
      <ddeItem name="1215.TW-DXLOrderOutValueRatio" advise="1">
        <values>
          <value>
            <val>0</val>
          </value>
        </values>
      </ddeItem>
      <ddeItem name="1215.TW-DXLOrderValueDiffRatio" advise="1">
        <values>
          <value>
            <val>0</val>
          </value>
        </values>
      </ddeItem>
      <ddeItem name="1215.TW-ExchangeIndustry" advise="1">
        <values>
          <value t="str">
            <val>上市食品</val>
          </value>
        </values>
      </ddeItem>
      <ddeItem name="1215.TW-ID" advise="1">
        <values>
          <value t="str">
            <val>1215</val>
          </value>
        </values>
      </ddeItem>
      <ddeItem name="1215.TW-InOutRatioNumber" advise="1">
        <values>
          <value t="str">
            <val>56.98%</val>
          </value>
        </values>
      </ddeItem>
      <ddeItem name="1215.TW-Name" advise="1">
        <values>
          <value t="str">
            <val>卜蜂</val>
          </value>
        </values>
      </ddeItem>
      <ddeItem name="1215.TW-PreTotalVolumeRate" advise="1">
        <values>
          <value>
            <val>0.3</val>
          </value>
        </values>
      </ddeItem>
      <ddeItem name="1215.TW-Price" advise="1">
        <values>
          <value>
            <val>79.599999999999994</val>
          </value>
        </values>
      </ddeItem>
      <ddeItem name="1215.TW-PriceChangeRatio" advise="1">
        <values>
          <value>
            <val>0.51</val>
          </value>
        </values>
      </ddeItem>
      <ddeItem name="1215.TW-Time" advise="1">
        <values>
          <value t="str">
            <val>10:10:11</val>
          </value>
        </values>
      </ddeItem>
      <ddeItem name="1215.TW-VolumeRatio" advise="1">
        <values>
          <value>
            <val>0.73</val>
          </value>
        </values>
      </ddeItem>
      <ddeItem name="1216.TW-5DayAvgVol" advise="1">
        <values>
          <value>
            <val>5908</val>
          </value>
        </values>
      </ddeItem>
      <ddeItem name="1216.TW-AvgPrice" advise="1">
        <values>
          <value>
            <val>68.010000000000005</val>
          </value>
        </values>
      </ddeItem>
      <ddeItem name="1216.TW-Capital" advise="1">
        <values>
          <value t="str">
            <val>568.20</val>
          </value>
        </values>
      </ddeItem>
      <ddeItem name="1216.TW-DLOrderValueDiffRatio" advise="1">
        <values>
          <value>
            <val>-18.54</val>
          </value>
        </values>
      </ddeItem>
      <ddeItem name="1216.TW-DXLOrderOutValueRatio" advise="1">
        <values>
          <value>
            <val>11.28</val>
          </value>
        </values>
      </ddeItem>
      <ddeItem name="1216.TW-DXLOrderValueDiffRatio" advise="1">
        <values>
          <value>
            <val>5.59</val>
          </value>
        </values>
      </ddeItem>
      <ddeItem name="1216.TW-ExchangeIndustry" advise="1">
        <values>
          <value t="str">
            <val>上市食品</val>
          </value>
        </values>
      </ddeItem>
      <ddeItem name="1216.TW-ID" advise="1">
        <values>
          <value t="str">
            <val>1216</val>
          </value>
        </values>
      </ddeItem>
      <ddeItem name="1216.TW-InOutRatioNumber" advise="1">
        <values>
          <value t="str">
            <val>40.85%</val>
          </value>
        </values>
      </ddeItem>
      <ddeItem name="1216.TW-Name" advise="1">
        <values>
          <value t="str">
            <val>統一</val>
          </value>
        </values>
      </ddeItem>
      <ddeItem name="1216.TW-PreTotalVolumeRate" advise="1">
        <values>
          <value>
            <val>0.13</val>
          </value>
        </values>
      </ddeItem>
      <ddeItem name="1216.TW-Price" advise="1">
        <values>
          <value>
            <val>67.8</val>
          </value>
        </values>
      </ddeItem>
      <ddeItem name="1216.TW-PriceChangeRatio" advise="1">
        <values>
          <value>
            <val>-0.44</val>
          </value>
        </values>
      </ddeItem>
      <ddeItem name="1216.TW-Time" advise="1">
        <values>
          <value t="str">
            <val>10:15:07</val>
          </value>
        </values>
      </ddeItem>
      <ddeItem name="1216.TW-VolumeRatio" advise="1">
        <values>
          <value>
            <val>0.36</val>
          </value>
        </values>
      </ddeItem>
      <ddeItem name="1217.TW-5DayAvgVol" advise="1">
        <values>
          <value>
            <val>1108</val>
          </value>
        </values>
      </ddeItem>
      <ddeItem name="1217.TW-AvgPrice" advise="1">
        <values>
          <value>
            <val>10.199999999999999</val>
          </value>
        </values>
      </ddeItem>
      <ddeItem name="1217.TW-Capital" advise="1">
        <values>
          <value t="str">
            <val>49.45</val>
          </value>
        </values>
      </ddeItem>
      <ddeItem name="1217.TW-DLOrderValueDiffRatio" advise="1">
        <values>
          <value>
            <val>22.63</val>
          </value>
        </values>
      </ddeItem>
      <ddeItem name="1217.TW-DXLOrderOutValueRatio" advise="1">
        <values>
          <value>
            <val>18.36</val>
          </value>
        </values>
      </ddeItem>
      <ddeItem name="1217.TW-DXLOrderValueDiffRatio" advise="1">
        <values>
          <value>
            <val>18.36</val>
          </value>
        </values>
      </ddeItem>
      <ddeItem name="1217.TW-ExchangeIndustry" advise="1">
        <values>
          <value t="str">
            <val>上市食品</val>
          </value>
        </values>
      </ddeItem>
      <ddeItem name="1217.TW-ID" advise="1">
        <values>
          <value t="str">
            <val>1217</val>
          </value>
        </values>
      </ddeItem>
      <ddeItem name="1217.TW-InOutRatioNumber" advise="1">
        <values>
          <value t="str">
            <val>67.72%</val>
          </value>
        </values>
      </ddeItem>
      <ddeItem name="1217.TW-Name" advise="1">
        <values>
          <value t="str">
            <val>愛之味</val>
          </value>
        </values>
      </ddeItem>
      <ddeItem name="1217.TW-PreTotalVolumeRate" advise="1">
        <values>
          <value>
            <val>0.64</val>
          </value>
        </values>
      </ddeItem>
      <ddeItem name="1217.TW-Price" advise="1">
        <values>
          <value>
            <val>10.25</val>
          </value>
        </values>
      </ddeItem>
      <ddeItem name="1217.TW-PriceChangeRatio" advise="1">
        <values>
          <value>
            <val>1.49</val>
          </value>
        </values>
      </ddeItem>
      <ddeItem name="1217.TW-Time" advise="1">
        <values>
          <value t="str">
            <val>10:15:16</val>
          </value>
        </values>
      </ddeItem>
      <ddeItem name="1217.TW-VolumeRatio" advise="1">
        <values>
          <value>
            <val>1.58</val>
          </value>
        </values>
      </ddeItem>
      <ddeItem name="1218.TW-5DayAvgVol" advise="1">
        <values>
          <value>
            <val>281</val>
          </value>
        </values>
      </ddeItem>
      <ddeItem name="1218.TW-AvgPrice" advise="1">
        <values>
          <value>
            <val>27.89</val>
          </value>
        </values>
      </ddeItem>
      <ddeItem name="1218.TW-Capital" advise="1">
        <values>
          <value t="str">
            <val>50.00</val>
          </value>
        </values>
      </ddeItem>
      <ddeItem name="1218.TW-DLOrderValueDiffRatio" advise="1">
        <values>
          <value>
            <val>9.36</val>
          </value>
        </values>
      </ddeItem>
      <ddeItem name="1218.TW-DXLOrderOutValueRatio" advise="1">
        <values>
          <value>
            <val>0</val>
          </value>
        </values>
      </ddeItem>
      <ddeItem name="1218.TW-DXLOrderValueDiffRatio" advise="1">
        <values>
          <value>
            <val>0</val>
          </value>
        </values>
      </ddeItem>
      <ddeItem name="1218.TW-ExchangeIndustry" advise="1">
        <values>
          <value t="str">
            <val>上市食品</val>
          </value>
        </values>
      </ddeItem>
      <ddeItem name="1218.TW-ID" advise="1">
        <values>
          <value t="str">
            <val>1218</val>
          </value>
        </values>
      </ddeItem>
      <ddeItem name="1218.TW-InOutRatioNumber" advise="1">
        <values>
          <value t="str">
            <val>69.68%</val>
          </value>
        </values>
      </ddeItem>
      <ddeItem name="1218.TW-Name" advise="1">
        <values>
          <value t="str">
            <val>泰山</val>
          </value>
        </values>
      </ddeItem>
      <ddeItem name="1218.TW-PreTotalVolumeRate" advise="1">
        <values>
          <value>
            <val>0.59</val>
          </value>
        </values>
      </ddeItem>
      <ddeItem name="1218.TW-Price" advise="1">
        <values>
          <value>
            <val>28</val>
          </value>
        </values>
      </ddeItem>
      <ddeItem name="1218.TW-PriceChangeRatio" advise="1">
        <values>
          <value>
            <val>1.45</val>
          </value>
        </values>
      </ddeItem>
      <ddeItem name="1218.TW-Time" advise="1">
        <values>
          <value t="str">
            <val>10:15:00</val>
          </value>
        </values>
      </ddeItem>
      <ddeItem name="1218.TW-VolumeRatio" advise="1">
        <values>
          <value>
            <val>1.79</val>
          </value>
        </values>
      </ddeItem>
      <ddeItem name="1219.TW-5DayAvgVol" advise="1">
        <values>
          <value>
            <val>1380</val>
          </value>
        </values>
      </ddeItem>
      <ddeItem name="1219.TW-AvgPrice" advise="1">
        <values>
          <value>
            <val>22.02</val>
          </value>
        </values>
      </ddeItem>
      <ddeItem name="1219.TW-Capital" advise="1">
        <values>
          <value t="str">
            <val>32.20</val>
          </value>
        </values>
      </ddeItem>
      <ddeItem name="1219.TW-DLOrderValueDiffRatio" advise="1">
        <values>
          <value>
            <val>7.16</val>
          </value>
        </values>
      </ddeItem>
      <ddeItem name="1219.TW-DXLOrderOutValueRatio" advise="1">
        <values>
          <value>
            <val>5.33</val>
          </value>
        </values>
      </ddeItem>
      <ddeItem name="1219.TW-DXLOrderValueDiffRatio" advise="1">
        <values>
          <value>
            <val>5.33</val>
          </value>
        </values>
      </ddeItem>
      <ddeItem name="1219.TW-ExchangeIndustry" advise="1">
        <values>
          <value t="str">
            <val>上市食品</val>
          </value>
        </values>
      </ddeItem>
      <ddeItem name="1219.TW-ID" advise="1">
        <values>
          <value t="str">
            <val>1219</val>
          </value>
        </values>
      </ddeItem>
      <ddeItem name="1219.TW-InOutRatioNumber" advise="1">
        <values>
          <value t="str">
            <val>58.94%</val>
          </value>
        </values>
      </ddeItem>
      <ddeItem name="1219.TW-Name" advise="1">
        <values>
          <value t="str">
            <val>福壽</val>
          </value>
        </values>
      </ddeItem>
      <ddeItem name="1219.TW-PreTotalVolumeRate" advise="1">
        <values>
          <value>
            <val>2.68</val>
          </value>
        </values>
      </ddeItem>
      <ddeItem name="1219.TW-Price" advise="1">
        <values>
          <value>
            <val>22.35</val>
          </value>
        </values>
      </ddeItem>
      <ddeItem name="1219.TW-PriceChangeRatio" advise="1">
        <values>
          <value>
            <val>5.42</val>
          </value>
        </values>
      </ddeItem>
      <ddeItem name="1219.TW-Time" advise="1">
        <values>
          <value t="str">
            <val>10:15:06</val>
          </value>
        </values>
      </ddeItem>
      <ddeItem name="1219.TW-VolumeRatio" advise="1">
        <values>
          <value>
            <val>6.01</val>
          </value>
        </values>
      </ddeItem>
      <ddeItem name="1220.TW-5DayAvgVol" advise="1">
        <values>
          <value>
            <val>176</val>
          </value>
        </values>
      </ddeItem>
      <ddeItem name="1220.TW-AvgPrice" advise="1">
        <values>
          <value>
            <val>15.27</val>
          </value>
        </values>
      </ddeItem>
      <ddeItem name="1220.TW-Capital" advise="1">
        <values>
          <value t="str">
            <val>17.71</val>
          </value>
        </values>
      </ddeItem>
      <ddeItem name="1220.TW-DLOrderValueDiffRatio" advise="1">
        <values>
          <value>
            <val>0</val>
          </value>
        </values>
      </ddeItem>
      <ddeItem name="1220.TW-DXLOrderOutValueRatio" advise="1">
        <values>
          <value>
            <val>0</val>
          </value>
        </values>
      </ddeItem>
      <ddeItem name="1220.TW-DXLOrderValueDiffRatio" advise="1">
        <values>
          <value>
            <val>0</val>
          </value>
        </values>
      </ddeItem>
      <ddeItem name="1220.TW-ExchangeIndustry" advise="1">
        <values>
          <value t="str">
            <val>上市食品</val>
          </value>
        </values>
      </ddeItem>
      <ddeItem name="1220.TW-ID" advise="1">
        <values>
          <value t="str">
            <val>1220</val>
          </value>
        </values>
      </ddeItem>
      <ddeItem name="1220.TW-InOutRatioNumber" advise="1">
        <values>
          <value t="str">
            <val>76.87%</val>
          </value>
        </values>
      </ddeItem>
      <ddeItem name="1220.TW-Name" advise="1">
        <values>
          <value t="str">
            <val>台榮</val>
          </value>
        </values>
      </ddeItem>
      <ddeItem name="1220.TW-PreTotalVolumeRate" advise="1">
        <values>
          <value>
            <val>0.84</val>
          </value>
        </values>
      </ddeItem>
      <ddeItem name="1220.TW-Price" advise="1">
        <values>
          <value>
            <val>15.45</val>
          </value>
        </values>
      </ddeItem>
      <ddeItem name="1220.TW-PriceChangeRatio" advise="1">
        <values>
          <value>
            <val>2.3199999999999998</val>
          </value>
        </values>
      </ddeItem>
      <ddeItem name="1220.TW-Time" advise="1">
        <values>
          <value t="str">
            <val>10:15:16</val>
          </value>
        </values>
      </ddeItem>
      <ddeItem name="1220.TW-VolumeRatio" advise="1">
        <values>
          <value>
            <val>2.19</val>
          </value>
        </values>
      </ddeItem>
      <ddeItem name="1225.TW-5DayAvgVol" advise="1">
        <values>
          <value>
            <val>286</val>
          </value>
        </values>
      </ddeItem>
      <ddeItem name="1225.TW-AvgPrice" advise="1">
        <values>
          <value>
            <val>49.14</val>
          </value>
        </values>
      </ddeItem>
      <ddeItem name="1225.TW-Capital" advise="1">
        <values>
          <value t="str">
            <val>21.87</val>
          </value>
        </values>
      </ddeItem>
      <ddeItem name="1225.TW-DLOrderValueDiffRatio" advise="1">
        <values>
          <value>
            <val>0</val>
          </value>
        </values>
      </ddeItem>
      <ddeItem name="1225.TW-DXLOrderOutValueRatio" advise="1">
        <values>
          <value>
            <val>0</val>
          </value>
        </values>
      </ddeItem>
      <ddeItem name="1225.TW-DXLOrderValueDiffRatio" advise="1">
        <values>
          <value>
            <val>0</val>
          </value>
        </values>
      </ddeItem>
      <ddeItem name="1225.TW-ExchangeIndustry" advise="1">
        <values>
          <value t="str">
            <val>上市食品</val>
          </value>
        </values>
      </ddeItem>
      <ddeItem name="1225.TW-ID" advise="1">
        <values>
          <value t="str">
            <val>1225</val>
          </value>
        </values>
      </ddeItem>
      <ddeItem name="1225.TW-InOutRatioNumber" advise="1">
        <values>
          <value t="str">
            <val>81.13%</val>
          </value>
        </values>
      </ddeItem>
      <ddeItem name="1225.TW-Name" advise="1">
        <values>
          <value t="str">
            <val>福懋油</val>
          </value>
        </values>
      </ddeItem>
      <ddeItem name="1225.TW-PreTotalVolumeRate" advise="1">
        <values>
          <value>
            <val>0.33</val>
          </value>
        </values>
      </ddeItem>
      <ddeItem name="1225.TW-Price" advise="1">
        <values>
          <value>
            <val>49</val>
          </value>
        </values>
      </ddeItem>
      <ddeItem name="1225.TW-PriceChangeRatio" advise="1">
        <values>
          <value>
            <val>0.1</val>
          </value>
        </values>
      </ddeItem>
      <ddeItem name="1225.TW-Time" advise="1">
        <values>
          <value t="str">
            <val>10:07:14</val>
          </value>
        </values>
      </ddeItem>
      <ddeItem name="1225.TW-VolumeRatio" advise="1">
        <values>
          <value>
            <val>0.89</val>
          </value>
        </values>
      </ddeItem>
      <ddeItem name="1227.TW-5DayAvgVol" advise="1">
        <values>
          <value>
            <val>693</val>
          </value>
        </values>
      </ddeItem>
      <ddeItem name="1227.TW-AvgPrice" advise="1">
        <values>
          <value>
            <val>51.49</val>
          </value>
        </values>
      </ddeItem>
      <ddeItem name="1227.TW-Capital" advise="1">
        <values>
          <value t="str">
            <val>91.51</val>
          </value>
        </values>
      </ddeItem>
      <ddeItem name="1227.TW-DLOrderValueDiffRatio" advise="1">
        <values>
          <value>
            <val>-0.59</val>
          </value>
        </values>
      </ddeItem>
      <ddeItem name="1227.TW-DXLOrderOutValueRatio" advise="1">
        <values>
          <value>
            <val>0</val>
          </value>
        </values>
      </ddeItem>
      <ddeItem name="1227.TW-DXLOrderValueDiffRatio" advise="1">
        <values>
          <value>
            <val>0</val>
          </value>
        </values>
      </ddeItem>
      <ddeItem name="1227.TW-ExchangeIndustry" advise="1">
        <values>
          <value t="str">
            <val>上市食品</val>
          </value>
        </values>
      </ddeItem>
      <ddeItem name="1227.TW-ID" advise="1">
        <values>
          <value t="str">
            <val>1227</val>
          </value>
        </values>
      </ddeItem>
      <ddeItem name="1227.TW-InOutRatioNumber" advise="1">
        <values>
          <value t="str">
            <val>56.76%</val>
          </value>
        </values>
      </ddeItem>
      <ddeItem name="1227.TW-Name" advise="1">
        <values>
          <value t="str">
            <val>佳格</val>
          </value>
        </values>
      </ddeItem>
      <ddeItem name="1227.TW-PreTotalVolumeRate" advise="1">
        <values>
          <value>
            <val>0.32</val>
          </value>
        </values>
      </ddeItem>
      <ddeItem name="1227.TW-Price" advise="1">
        <values>
          <value>
            <val>51.6</val>
          </value>
        </values>
      </ddeItem>
      <ddeItem name="1227.TW-PriceChangeRatio" advise="1">
        <values>
          <value>
            <val>0.19</val>
          </value>
        </values>
      </ddeItem>
      <ddeItem name="1227.TW-Time" advise="1">
        <values>
          <value t="str">
            <val>10:11:59</val>
          </value>
        </values>
      </ddeItem>
      <ddeItem name="1227.TW-VolumeRatio" advise="1">
        <values>
          <value>
            <val>0.81</val>
          </value>
        </values>
      </ddeItem>
      <ddeItem name="1229.TW-5DayAvgVol" advise="1">
        <values>
          <value>
            <val>1579</val>
          </value>
        </values>
      </ddeItem>
      <ddeItem name="1229.TW-AvgPrice" advise="1">
        <values>
          <value>
            <val>54.72</val>
          </value>
        </values>
      </ddeItem>
      <ddeItem name="1229.TW-Capital" advise="1">
        <values>
          <value t="str">
            <val>140.96</val>
          </value>
        </values>
      </ddeItem>
      <ddeItem name="1229.TW-DLOrderValueDiffRatio" advise="1">
        <values>
          <value>
            <val>1.66</val>
          </value>
        </values>
      </ddeItem>
      <ddeItem name="1229.TW-DXLOrderOutValueRatio" advise="1">
        <values>
          <value>
            <val>14.79</val>
          </value>
        </values>
      </ddeItem>
      <ddeItem name="1229.TW-DXLOrderValueDiffRatio" advise="1">
        <values>
          <value>
            <val>14.79</val>
          </value>
        </values>
      </ddeItem>
      <ddeItem name="1229.TW-ExchangeIndustry" advise="1">
        <values>
          <value t="str">
            <val>上市食品</val>
          </value>
        </values>
      </ddeItem>
      <ddeItem name="1229.TW-ID" advise="1">
        <values>
          <value t="str">
            <val>1229</val>
          </value>
        </values>
      </ddeItem>
      <ddeItem name="1229.TW-InOutRatioNumber" advise="1">
        <values>
          <value t="str">
            <val>57.76%</val>
          </value>
        </values>
      </ddeItem>
      <ddeItem name="1229.TW-Name" advise="1">
        <values>
          <value t="str">
            <val>聯華</val>
          </value>
        </values>
      </ddeItem>
      <ddeItem name="1229.TW-PreTotalVolumeRate" advise="1">
        <values>
          <value>
            <val>0.36</val>
          </value>
        </values>
      </ddeItem>
      <ddeItem name="1229.TW-Price" advise="1">
        <values>
          <value>
            <val>54.8</val>
          </value>
        </values>
      </ddeItem>
      <ddeItem name="1229.TW-PriceChangeRatio" advise="1">
        <values>
          <value>
            <val>0.55000000000000004</val>
          </value>
        </values>
      </ddeItem>
      <ddeItem name="1229.TW-Time" advise="1">
        <values>
          <value t="str">
            <val>10:15:17</val>
          </value>
        </values>
      </ddeItem>
      <ddeItem name="1229.TW-VolumeRatio" advise="1">
        <values>
          <value>
            <val>0.91</val>
          </value>
        </values>
      </ddeItem>
      <ddeItem name="1231.TW-5DayAvgVol" advise="1">
        <values>
          <value>
            <val>163</val>
          </value>
        </values>
      </ddeItem>
      <ddeItem name="1231.TW-AvgPrice" advise="1">
        <values>
          <value>
            <val>65.349999999999994</val>
          </value>
        </values>
      </ddeItem>
      <ddeItem name="1231.TW-Capital" advise="1">
        <values>
          <value t="str">
            <val>20.18</val>
          </value>
        </values>
      </ddeItem>
      <ddeItem name="1231.TW-DLOrderValueDiffRatio" advise="1">
        <values>
          <value>
            <val>8.8699999999999992</val>
          </value>
        </values>
      </ddeItem>
      <ddeItem name="1231.TW-DXLOrderOutValueRatio" advise="1">
        <values>
          <value>
            <val>12.67</val>
          </value>
        </values>
      </ddeItem>
      <ddeItem name="1231.TW-DXLOrderValueDiffRatio" advise="1">
        <values>
          <value>
            <val>12.67</val>
          </value>
        </values>
      </ddeItem>
      <ddeItem name="1231.TW-ExchangeIndustry" advise="1">
        <values>
          <value t="str">
            <val>上市食品</val>
          </value>
        </values>
      </ddeItem>
      <ddeItem name="1231.TW-ID" advise="1">
        <values>
          <value t="str">
            <val>1231</val>
          </value>
        </values>
      </ddeItem>
      <ddeItem name="1231.TW-InOutRatioNumber" advise="1">
        <values>
          <value t="str">
            <val>41.40%</val>
          </value>
        </values>
      </ddeItem>
      <ddeItem name="1231.TW-Name" advise="1">
        <values>
          <value t="str">
            <val>聯華食</val>
          </value>
        </values>
      </ddeItem>
      <ddeItem name="1231.TW-PreTotalVolumeRate" advise="1">
        <values>
          <value>
            <val>1.36</val>
          </value>
        </values>
      </ddeItem>
      <ddeItem name="1231.TW-Price" advise="1">
        <values>
          <value>
            <val>65.5</val>
          </value>
        </values>
      </ddeItem>
      <ddeItem name="1231.TW-PriceChangeRatio" advise="1">
        <values>
          <value>
            <val>-0.76</val>
          </value>
        </values>
      </ddeItem>
      <ddeItem name="1231.TW-Time" advise="1">
        <values>
          <value t="str">
            <val>10:14:59</val>
          </value>
        </values>
      </ddeItem>
      <ddeItem name="1231.TW-VolumeRatio" advise="1">
        <values>
          <value>
            <val>2.5499999999999998</val>
          </value>
        </values>
      </ddeItem>
      <ddeItem name="1232.TW-5DayAvgVol" advise="1">
        <values>
          <value>
            <val>58</val>
          </value>
        </values>
      </ddeItem>
      <ddeItem name="1232.TW-AvgPrice" advise="1">
        <values>
          <value>
            <val>158.57</val>
          </value>
        </values>
      </ddeItem>
      <ddeItem name="1232.TW-Capital" advise="1">
        <values>
          <value t="str">
            <val>16.00</val>
          </value>
        </values>
      </ddeItem>
      <ddeItem name="1232.TW-DLOrderValueDiffRatio" advise="1">
        <values>
          <value>
            <val>57.12</val>
          </value>
        </values>
      </ddeItem>
      <ddeItem name="1232.TW-DXLOrderOutValueRatio" advise="1">
        <values>
          <value>
            <val>0</val>
          </value>
        </values>
      </ddeItem>
      <ddeItem name="1232.TW-DXLOrderValueDiffRatio" advise="1">
        <values>
          <value>
            <val>0</val>
          </value>
        </values>
      </ddeItem>
      <ddeItem name="1232.TW-ExchangeIndustry" advise="1">
        <values>
          <value t="str">
            <val>上市食品</val>
          </value>
        </values>
      </ddeItem>
      <ddeItem name="1232.TW-ID" advise="1">
        <values>
          <value t="str">
            <val>1232</val>
          </value>
        </values>
      </ddeItem>
      <ddeItem name="1232.TW-InOutRatioNumber" advise="1">
        <values>
          <value t="str">
            <val>92.86%</val>
          </value>
        </values>
      </ddeItem>
      <ddeItem name="1232.TW-Name" advise="1">
        <values>
          <value t="str">
            <val>大統益</val>
          </value>
        </values>
      </ddeItem>
      <ddeItem name="1232.TW-PreTotalVolumeRate" advise="1">
        <values>
          <value>
            <val>0.17</val>
          </value>
        </values>
      </ddeItem>
      <ddeItem name="1232.TW-Price" advise="1">
        <values>
          <value>
            <val>159</val>
          </value>
        </values>
      </ddeItem>
      <ddeItem name="1232.TW-PriceChangeRatio" advise="1">
        <values>
          <value>
            <val>0.32</val>
          </value>
        </values>
      </ddeItem>
      <ddeItem name="1232.TW-Time" advise="1">
        <values>
          <value t="str">
            <val>10:15:19</val>
          </value>
        </values>
      </ddeItem>
      <ddeItem name="1232.TW-VolumeRatio" advise="1">
        <values>
          <value>
            <val>2.4500000000000002</val>
          </value>
        </values>
      </ddeItem>
      <ddeItem name="1233.TW-5DayAvgVol" advise="1">
        <values>
          <value>
            <val>30</val>
          </value>
        </values>
      </ddeItem>
      <ddeItem name="1233.TW-AvgPrice" advise="1">
        <values>
          <value>
            <val>33.4</val>
          </value>
        </values>
      </ddeItem>
      <ddeItem name="1233.TW-Capital" advise="1">
        <values>
          <value t="str">
            <val>9.06</val>
          </value>
        </values>
      </ddeItem>
      <ddeItem name="1233.TW-DLOrderValueDiffRatio" advise="1">
        <values>
          <value>
            <val>0</val>
          </value>
        </values>
      </ddeItem>
      <ddeItem name="1233.TW-DXLOrderOutValueRatio" advise="1">
        <values>
          <value>
            <val>0</val>
          </value>
        </values>
      </ddeItem>
      <ddeItem name="1233.TW-DXLOrderValueDiffRatio" advise="1">
        <values>
          <value>
            <val>0</val>
          </value>
        </values>
      </ddeItem>
      <ddeItem name="1233.TW-ExchangeIndustry" advise="1">
        <values>
          <value t="str">
            <val>上市食品</val>
          </value>
        </values>
      </ddeItem>
      <ddeItem name="1233.TW-ID" advise="1">
        <values>
          <value t="str">
            <val>1233</val>
          </value>
        </values>
      </ddeItem>
      <ddeItem name="1233.TW-InOutRatioNumber" advise="1">
        <values>
          <value t="str">
            <val>33.33%</val>
          </value>
        </values>
      </ddeItem>
      <ddeItem name="1233.TW-Name" advise="1">
        <values>
          <value t="str">
            <val>天仁</val>
          </value>
        </values>
      </ddeItem>
      <ddeItem name="1233.TW-PreTotalVolumeRate" advise="1">
        <values>
          <value>
            <val>0.19</val>
          </value>
        </values>
      </ddeItem>
      <ddeItem name="1233.TW-Price" advise="1">
        <values>
          <value>
            <val>33.299999999999997</val>
          </value>
        </values>
      </ddeItem>
      <ddeItem name="1233.TW-PriceChangeRatio" advise="1">
        <values>
          <value>
            <val>-0.89</val>
          </value>
        </values>
      </ddeItem>
      <ddeItem name="1233.TW-Time" advise="1">
        <values>
          <value t="str">
            <val>10:01:09</val>
          </value>
        </values>
      </ddeItem>
      <ddeItem name="1233.TW-VolumeRatio" advise="1">
        <values>
          <value>
            <val>0</val>
          </value>
        </values>
      </ddeItem>
      <ddeItem name="1234.TW-5DayAvgVol" advise="1">
        <values>
          <value>
            <val>113</val>
          </value>
        </values>
      </ddeItem>
      <ddeItem name="1234.TW-AvgPrice" advise="1">
        <values>
          <value>
            <val>34.119999999999997</val>
          </value>
        </values>
      </ddeItem>
      <ddeItem name="1234.TW-Capital" advise="1">
        <values>
          <value t="str">
            <val>40.19</val>
          </value>
        </values>
      </ddeItem>
      <ddeItem name="1234.TW-DLOrderValueDiffRatio" advise="1">
        <values>
          <value>
            <val>0</val>
          </value>
        </values>
      </ddeItem>
      <ddeItem name="1234.TW-DXLOrderOutValueRatio" advise="1">
        <values>
          <value>
            <val>0</val>
          </value>
        </values>
      </ddeItem>
      <ddeItem name="1234.TW-DXLOrderValueDiffRatio" advise="1">
        <values>
          <value>
            <val>0</val>
          </value>
        </values>
      </ddeItem>
      <ddeItem name="1234.TW-ExchangeIndustry" advise="1">
        <values>
          <value t="str">
            <val>上市食品</val>
          </value>
        </values>
      </ddeItem>
      <ddeItem name="1234.TW-ID" advise="1">
        <values>
          <value t="str">
            <val>1234</val>
          </value>
        </values>
      </ddeItem>
      <ddeItem name="1234.TW-InOutRatioNumber" advise="1">
        <values>
          <value t="str">
            <val>12.50%</val>
          </value>
        </values>
      </ddeItem>
      <ddeItem name="1234.TW-Name" advise="1">
        <values>
          <value t="str">
            <val>黑松</val>
          </value>
        </values>
      </ddeItem>
      <ddeItem name="1234.TW-PreTotalVolumeRate" advise="1">
        <values>
          <value>
            <val>0.12</val>
          </value>
        </values>
      </ddeItem>
      <ddeItem name="1234.TW-Price" advise="1">
        <values>
          <value>
            <val>34.200000000000003</val>
          </value>
        </values>
      </ddeItem>
      <ddeItem name="1234.TW-PriceChangeRatio" advise="1">
        <values>
          <value>
            <val>-0.28999999999999998</val>
          </value>
        </values>
      </ddeItem>
      <ddeItem name="1234.TW-Time" advise="1">
        <values>
          <value t="str">
            <val>09:59:46</val>
          </value>
        </values>
      </ddeItem>
      <ddeItem name="1234.TW-VolumeRatio" advise="1">
        <values>
          <value>
            <val>0.48</val>
          </value>
        </values>
      </ddeItem>
      <ddeItem name="1235.TW-5DayAvgVol" advise="1">
        <values>
          <value>
            <val>152</val>
          </value>
        </values>
      </ddeItem>
      <ddeItem name="1235.TW-AvgPrice" advise="1">
        <values>
          <value>
            <val>35.39</val>
          </value>
        </values>
      </ddeItem>
      <ddeItem name="1235.TW-Capital" advise="1">
        <values>
          <value t="str">
            <val>10.44</val>
          </value>
        </values>
      </ddeItem>
      <ddeItem name="1235.TW-DLOrderValueDiffRatio" advise="1">
        <values>
          <value>
            <val>0</val>
          </value>
        </values>
      </ddeItem>
      <ddeItem name="1235.TW-DXLOrderOutValueRatio" advise="1">
        <values>
          <value>
            <val>0</val>
          </value>
        </values>
      </ddeItem>
      <ddeItem name="1235.TW-DXLOrderValueDiffRatio" advise="1">
        <values>
          <value>
            <val>0</val>
          </value>
        </values>
      </ddeItem>
      <ddeItem name="1235.TW-ExchangeIndustry" advise="1">
        <values>
          <value t="str">
            <val>上市食品</val>
          </value>
        </values>
      </ddeItem>
      <ddeItem name="1235.TW-ID" advise="1">
        <values>
          <value t="str">
            <val>1235</val>
          </value>
        </values>
      </ddeItem>
      <ddeItem name="1235.TW-InOutRatioNumber" advise="1">
        <values>
          <value t="str">
            <val>60.00%</val>
          </value>
        </values>
      </ddeItem>
      <ddeItem name="1235.TW-Name" advise="1">
        <values>
          <value t="str">
            <val>興泰</val>
          </value>
        </values>
      </ddeItem>
      <ddeItem name="1235.TW-PreTotalVolumeRate" advise="1">
        <values>
          <value>
            <val>0.01</val>
          </value>
        </values>
      </ddeItem>
      <ddeItem name="1235.TW-Price" advise="1">
        <values>
          <value>
            <val>36</val>
          </value>
        </values>
      </ddeItem>
      <ddeItem name="1235.TW-PriceChangeRatio" advise="1">
        <values>
          <value>
            <val>2.86</val>
          </value>
        </values>
      </ddeItem>
      <ddeItem name="1235.TW-Time" advise="1">
        <values>
          <value t="str">
            <val>09:58:17</val>
          </value>
        </values>
      </ddeItem>
      <ddeItem name="1235.TW-VolumeRatio" advise="1">
        <values>
          <value>
            <val>0.85</val>
          </value>
        </values>
      </ddeItem>
      <ddeItem name="1236.TW-5DayAvgVol" advise="1">
        <values>
          <value>
            <val>16</val>
          </value>
        </values>
      </ddeItem>
      <ddeItem name="1236.TW-AvgPrice" advise="1">
        <values>
          <value>
            <val>13.9</val>
          </value>
        </values>
      </ddeItem>
      <ddeItem name="1236.TW-Capital" advise="1">
        <values>
          <value t="str">
            <val>10.83</val>
          </value>
        </values>
      </ddeItem>
      <ddeItem name="1236.TW-DLOrderValueDiffRatio" advise="1">
        <values>
          <value>
            <val>0</val>
          </value>
        </values>
      </ddeItem>
      <ddeItem name="1236.TW-DXLOrderOutValueRatio" advise="1">
        <values>
          <value>
            <val>0</val>
          </value>
        </values>
      </ddeItem>
      <ddeItem name="1236.TW-DXLOrderValueDiffRatio" advise="1">
        <values>
          <value>
            <val>0</val>
          </value>
        </values>
      </ddeItem>
      <ddeItem name="1236.TW-ExchangeIndustry" advise="1">
        <values>
          <value t="str">
            <val>上市食品</val>
          </value>
        </values>
      </ddeItem>
      <ddeItem name="1236.TW-ID" advise="1">
        <values>
          <value t="str">
            <val>1236</val>
          </value>
        </values>
      </ddeItem>
      <ddeItem name="1236.TW-InOutRatioNumber" advise="1">
        <values>
          <value t="str">
            <val>--</val>
          </value>
        </values>
      </ddeItem>
      <ddeItem name="1236.TW-Name" advise="1">
        <values>
          <value t="str">
            <val>宏亞</val>
          </value>
        </values>
      </ddeItem>
      <ddeItem name="1236.TW-PreTotalVolumeRate" advise="1">
        <values>
          <value>
            <val>0.22</val>
          </value>
        </values>
      </ddeItem>
      <ddeItem name="1236.TW-Price" advise="1">
        <values>
          <value>
            <val>13.9</val>
          </value>
        </values>
      </ddeItem>
      <ddeItem name="1236.TW-PriceChangeRatio" advise="1">
        <values>
          <value>
            <val>0</val>
          </value>
        </values>
      </ddeItem>
      <ddeItem name="1236.TW-Time" advise="1">
        <values>
          <value t="str">
            <val>09:00:06</val>
          </value>
        </values>
      </ddeItem>
      <ddeItem name="1236.TW-VolumeRatio" advise="1">
        <values>
          <value>
            <val>0</val>
          </value>
        </values>
      </ddeItem>
      <ddeItem name="1256.TW-5DayAvgVol" advise="1">
        <values>
          <value>
            <val>34</val>
          </value>
        </values>
      </ddeItem>
      <ddeItem name="1256.TW-AvgPrice" advise="1">
        <values>
          <value>
            <val>368.5</val>
          </value>
        </values>
      </ddeItem>
      <ddeItem name="1256.TW-Capital" advise="1">
        <values>
          <value t="str">
            <val>3.38</val>
          </value>
        </values>
      </ddeItem>
      <ddeItem name="1256.TW-DLOrderValueDiffRatio" advise="1">
        <values>
          <value>
            <val>0</val>
          </value>
        </values>
      </ddeItem>
      <ddeItem name="1256.TW-DXLOrderOutValueRatio" advise="1">
        <values>
          <value>
            <val>0</val>
          </value>
        </values>
      </ddeItem>
      <ddeItem name="1256.TW-DXLOrderValueDiffRatio" advise="1">
        <values>
          <value>
            <val>0</val>
          </value>
        </values>
      </ddeItem>
      <ddeItem name="1256.TW-ExchangeIndustry" advise="1">
        <values>
          <value t="str">
            <val>上市食品</val>
          </value>
        </values>
      </ddeItem>
      <ddeItem name="1256.TW-ID" advise="1">
        <values>
          <value t="str">
            <val>1256</val>
          </value>
        </values>
      </ddeItem>
      <ddeItem name="1256.TW-InOutRatioNumber" advise="1">
        <values>
          <value t="str">
            <val>--</val>
          </value>
        </values>
      </ddeItem>
      <ddeItem name="1256.TW-Name" advise="1">
        <values>
          <value t="str">
            <val>鮮活果汁-KY</val>
          </value>
        </values>
      </ddeItem>
      <ddeItem name="1256.TW-PreTotalVolumeRate" advise="1">
        <values>
          <value>
            <val>0.03</val>
          </value>
        </values>
      </ddeItem>
      <ddeItem name="1256.TW-Price" advise="1">
        <values>
          <value>
            <val>368.5</val>
          </value>
        </values>
      </ddeItem>
      <ddeItem name="1256.TW-PriceChangeRatio" advise="1">
        <values>
          <value>
            <val>-0.41</val>
          </value>
        </values>
      </ddeItem>
      <ddeItem name="1256.TW-Time" advise="1">
        <values>
          <value t="str">
            <val>09:00:01</val>
          </value>
        </values>
      </ddeItem>
      <ddeItem name="1256.TW-VolumeRatio" advise="1">
        <values>
          <value>
            <val>0</val>
          </value>
        </values>
      </ddeItem>
      <ddeItem name="1301.TW-5DayAvgVol" advise="1">
        <values>
          <value>
            <val>14532</val>
          </value>
        </values>
      </ddeItem>
      <ddeItem name="1301.TW-AvgPrice" advise="1">
        <values>
          <value>
            <val>114.46</val>
          </value>
        </values>
      </ddeItem>
      <ddeItem name="1301.TW-Capital" advise="1">
        <values>
          <value t="str">
            <val>636.57</val>
          </value>
        </values>
      </ddeItem>
      <ddeItem name="1301.TW-DLOrderValueDiffRatio" advise="1">
        <values>
          <value>
            <val>-2.78</val>
          </value>
        </values>
      </ddeItem>
      <ddeItem name="1301.TW-DXLOrderOutValueRatio" advise="1">
        <values>
          <value>
            <val>30.48</val>
          </value>
        </values>
      </ddeItem>
      <ddeItem name="1301.TW-DXLOrderValueDiffRatio" advise="1">
        <values>
          <value>
            <val>0.8</val>
          </value>
        </values>
      </ddeItem>
      <ddeItem name="1301.TW-ExchangeIndustry" advise="1">
        <values>
          <value t="str">
            <val>上市塑膠</val>
          </value>
        </values>
      </ddeItem>
      <ddeItem name="1301.TW-ID" advise="1">
        <values>
          <value t="str">
            <val>1301</val>
          </value>
        </values>
      </ddeItem>
      <ddeItem name="1301.TW-InOutRatioNumber" advise="1">
        <values>
          <value t="str">
            <val>50.54%</val>
          </value>
        </values>
      </ddeItem>
      <ddeItem name="1301.TW-Name" advise="1">
        <values>
          <value t="str">
            <val>台塑</val>
          </value>
        </values>
      </ddeItem>
      <ddeItem name="1301.TW-PreTotalVolumeRate" advise="1">
        <values>
          <value>
            <val>0.38</val>
          </value>
        </values>
      </ddeItem>
      <ddeItem name="1301.TW-Price" advise="1">
        <values>
          <value>
            <val>114</val>
          </value>
        </values>
      </ddeItem>
      <ddeItem name="1301.TW-PriceChangeRatio" advise="1">
        <values>
          <value>
            <val>-0.44</val>
          </value>
        </values>
      </ddeItem>
      <ddeItem name="1301.TW-Time" advise="1">
        <values>
          <value t="str">
            <val>10:15:07</val>
          </value>
        </values>
      </ddeItem>
      <ddeItem name="1301.TW-VolumeRatio" advise="1">
        <values>
          <value>
            <val>0.82</val>
          </value>
        </values>
      </ddeItem>
      <ddeItem name="1303.TW-5DayAvgVol" advise="1">
        <values>
          <value>
            <val>8643</val>
          </value>
        </values>
      </ddeItem>
      <ddeItem name="1303.TW-AvgPrice" advise="1">
        <values>
          <value>
            <val>89.32</val>
          </value>
        </values>
      </ddeItem>
      <ddeItem name="1303.TW-Capital" advise="1">
        <values>
          <value t="str">
            <val>793.08</val>
          </value>
        </values>
      </ddeItem>
      <ddeItem name="1303.TW-DLOrderValueDiffRatio" advise="1">
        <values>
          <value>
            <val>0.09</val>
          </value>
        </values>
      </ddeItem>
      <ddeItem name="1303.TW-DXLOrderOutValueRatio" advise="1">
        <values>
          <value>
            <val>13.28</val>
          </value>
        </values>
      </ddeItem>
      <ddeItem name="1303.TW-DXLOrderValueDiffRatio" advise="1">
        <values>
          <value>
            <val>-7.75</val>
          </value>
        </values>
      </ddeItem>
      <ddeItem name="1303.TW-ExchangeIndustry" advise="1">
        <values>
          <value t="str">
            <val>上市塑膠</val>
          </value>
        </values>
      </ddeItem>
      <ddeItem name="1303.TW-ID" advise="1">
        <values>
          <value t="str">
            <val>1303</val>
          </value>
        </values>
      </ddeItem>
      <ddeItem name="1303.TW-InOutRatioNumber" advise="1">
        <values>
          <value t="str">
            <val>42.93%</val>
          </value>
        </values>
      </ddeItem>
      <ddeItem name="1303.TW-Name" advise="1">
        <values>
          <value t="str">
            <val>南亞</val>
          </value>
        </values>
      </ddeItem>
      <ddeItem name="1303.TW-PreTotalVolumeRate" advise="1">
        <values>
          <value>
            <val>0.19</val>
          </value>
        </values>
      </ddeItem>
      <ddeItem name="1303.TW-Price" advise="1">
        <values>
          <value>
            <val>89</val>
          </value>
        </values>
      </ddeItem>
      <ddeItem name="1303.TW-PriceChangeRatio" advise="1">
        <values>
          <value>
            <val>-0.22</val>
          </value>
        </values>
      </ddeItem>
      <ddeItem name="1303.TW-Time" advise="1">
        <values>
          <value t="str">
            <val>10:15:14</val>
          </value>
        </values>
      </ddeItem>
      <ddeItem name="1303.TW-VolumeRatio" advise="1">
        <values>
          <value>
            <val>0.41</val>
          </value>
        </values>
      </ddeItem>
      <ddeItem name="1304.TW-5DayAvgVol" advise="1">
        <values>
          <value>
            <val>30053</val>
          </value>
        </values>
      </ddeItem>
      <ddeItem name="1304.TW-AvgPrice" advise="1">
        <values>
          <value>
            <val>37.92</val>
          </value>
        </values>
      </ddeItem>
      <ddeItem name="1304.TW-Capital" advise="1">
        <values>
          <value t="str">
            <val>118.88</val>
          </value>
        </values>
      </ddeItem>
      <ddeItem name="1304.TW-DLOrderValueDiffRatio" advise="1">
        <values>
          <value>
            <val>-5.3</val>
          </value>
        </values>
      </ddeItem>
      <ddeItem name="1304.TW-DXLOrderOutValueRatio" advise="1">
        <values>
          <value>
            <val>15.42</val>
          </value>
        </values>
      </ddeItem>
      <ddeItem name="1304.TW-DXLOrderValueDiffRatio" advise="1">
        <values>
          <value>
            <val>-3.76</val>
          </value>
        </values>
      </ddeItem>
      <ddeItem name="1304.TW-ExchangeIndustry" advise="1">
        <values>
          <value t="str">
            <val>上市塑膠</val>
          </value>
        </values>
      </ddeItem>
      <ddeItem name="1304.TW-ID" advise="1">
        <values>
          <value t="str">
            <val>1304</val>
          </value>
        </values>
      </ddeItem>
      <ddeItem name="1304.TW-InOutRatioNumber" advise="1">
        <values>
          <value t="str">
            <val>46.12%</val>
          </value>
        </values>
      </ddeItem>
      <ddeItem name="1304.TW-Name" advise="1">
        <values>
          <value t="str">
            <val>台聚</val>
          </value>
        </values>
      </ddeItem>
      <ddeItem name="1304.TW-PreTotalVolumeRate" advise="1">
        <values>
          <value>
            <val>0.84</val>
          </value>
        </values>
      </ddeItem>
      <ddeItem name="1304.TW-Price" advise="1">
        <values>
          <value>
            <val>37.35</val>
          </value>
        </values>
      </ddeItem>
      <ddeItem name="1304.TW-PriceChangeRatio" advise="1">
        <values>
          <value>
            <val>1.36</val>
          </value>
        </values>
      </ddeItem>
      <ddeItem name="1304.TW-Time" advise="1">
        <values>
          <value t="str">
            <val>10:15:17</val>
          </value>
        </values>
      </ddeItem>
      <ddeItem name="1304.TW-VolumeRatio" advise="1">
        <values>
          <value>
            <val>1.6</val>
          </value>
        </values>
      </ddeItem>
      <ddeItem name="1305.TW-5DayAvgVol" advise="1">
        <values>
          <value>
            <val>31277</val>
          </value>
        </values>
      </ddeItem>
      <ddeItem name="1305.TW-AvgPrice" advise="1">
        <values>
          <value>
            <val>40.549999999999997</val>
          </value>
        </values>
      </ddeItem>
      <ddeItem name="1305.TW-Capital" advise="1">
        <values>
          <value t="str">
            <val>58.11</val>
          </value>
        </values>
      </ddeItem>
      <ddeItem name="1305.TW-DLOrderValueDiffRatio" advise="1">
        <values>
          <value>
            <val>-4.7</val>
          </value>
        </values>
      </ddeItem>
      <ddeItem name="1305.TW-DXLOrderOutValueRatio" advise="1">
        <values>
          <value>
            <val>17.04</val>
          </value>
        </values>
      </ddeItem>
      <ddeItem name="1305.TW-DXLOrderValueDiffRatio" advise="1">
        <values>
          <value>
            <val>-2.27</val>
          </value>
        </values>
      </ddeItem>
      <ddeItem name="1305.TW-ExchangeIndustry" advise="1">
        <values>
          <value t="str">
            <val>上市塑膠</val>
          </value>
        </values>
      </ddeItem>
      <ddeItem name="1305.TW-ID" advise="1">
        <values>
          <value t="str">
            <val>1305</val>
          </value>
        </values>
      </ddeItem>
      <ddeItem name="1305.TW-InOutRatioNumber" advise="1">
        <values>
          <value t="str">
            <val>44.53%</val>
          </value>
        </values>
      </ddeItem>
      <ddeItem name="1305.TW-Name" advise="1">
        <values>
          <value t="str">
            <val>華夏</val>
          </value>
        </values>
      </ddeItem>
      <ddeItem name="1305.TW-PreTotalVolumeRate" advise="1">
        <values>
          <value>
            <val>0.72</val>
          </value>
        </values>
      </ddeItem>
      <ddeItem name="1305.TW-Price" advise="1">
        <values>
          <value>
            <val>39.950000000000003</val>
          </value>
        </values>
      </ddeItem>
      <ddeItem name="1305.TW-PriceChangeRatio" advise="1">
        <values>
          <value>
            <val>1.52</val>
          </value>
        </values>
      </ddeItem>
      <ddeItem name="1305.TW-Time" advise="1">
        <values>
          <value t="str">
            <val>10:15:10</val>
          </value>
        </values>
      </ddeItem>
      <ddeItem name="1305.TW-VolumeRatio" advise="1">
        <values>
          <value>
            <val>1.34</val>
          </value>
        </values>
      </ddeItem>
      <ddeItem name="1307.TW-5DayAvgVol" advise="1">
        <values>
          <value>
            <val>97</val>
          </value>
        </values>
      </ddeItem>
      <ddeItem name="1307.TW-AvgPrice" advise="1">
        <values>
          <value>
            <val>21.89</val>
          </value>
        </values>
      </ddeItem>
      <ddeItem name="1307.TW-Capital" advise="1">
        <values>
          <value t="str">
            <val>39.78</val>
          </value>
        </values>
      </ddeItem>
      <ddeItem name="1307.TW-DLOrderValueDiffRatio" advise="1">
        <values>
          <value>
            <val>0</val>
          </value>
        </values>
      </ddeItem>
      <ddeItem name="1307.TW-DXLOrderOutValueRatio" advise="1">
        <values>
          <value>
            <val>0</val>
          </value>
        </values>
      </ddeItem>
      <ddeItem name="1307.TW-DXLOrderValueDiffRatio" advise="1">
        <values>
          <value>
            <val>0</val>
          </value>
        </values>
      </ddeItem>
      <ddeItem name="1307.TW-ExchangeIndustry" advise="1">
        <values>
          <value t="str">
            <val>上市塑膠</val>
          </value>
        </values>
      </ddeItem>
      <ddeItem name="1307.TW-ID" advise="1">
        <values>
          <value t="str">
            <val>1307</val>
          </value>
        </values>
      </ddeItem>
      <ddeItem name="1307.TW-InOutRatioNumber" advise="1">
        <values>
          <value t="str">
            <val>78.26%</val>
          </value>
        </values>
      </ddeItem>
      <ddeItem name="1307.TW-Name" advise="1">
        <values>
          <value t="str">
            <val>三芳</val>
          </value>
        </values>
      </ddeItem>
      <ddeItem name="1307.TW-PreTotalVolumeRate" advise="1">
        <values>
          <value>
            <val>0.17</val>
          </value>
        </values>
      </ddeItem>
      <ddeItem name="1307.TW-Price" advise="1">
        <values>
          <value>
            <val>21.95</val>
          </value>
        </values>
      </ddeItem>
      <ddeItem name="1307.TW-PriceChangeRatio" advise="1">
        <values>
          <value>
            <val>0.69</val>
          </value>
        </values>
      </ddeItem>
      <ddeItem name="1307.TW-Time" advise="1">
        <values>
          <value t="str">
            <val>10:12:09</val>
          </value>
        </values>
      </ddeItem>
      <ddeItem name="1307.TW-VolumeRatio" advise="1">
        <values>
          <value>
            <val>0.6</val>
          </value>
        </values>
      </ddeItem>
      <ddeItem name="1308.TW-5DayAvgVol" advise="1">
        <values>
          <value>
            <val>46255</val>
          </value>
        </values>
      </ddeItem>
      <ddeItem name="1308.TW-AvgPrice" advise="1">
        <values>
          <value>
            <val>44.11</val>
          </value>
        </values>
      </ddeItem>
      <ddeItem name="1308.TW-Capital" advise="1">
        <values>
          <value t="str">
            <val>59.37</val>
          </value>
        </values>
      </ddeItem>
      <ddeItem name="1308.TW-DLOrderValueDiffRatio" advise="1">
        <values>
          <value>
            <val>-3.48</val>
          </value>
        </values>
      </ddeItem>
      <ddeItem name="1308.TW-DXLOrderOutValueRatio" advise="1">
        <values>
          <value>
            <val>15.85</val>
          </value>
        </values>
      </ddeItem>
      <ddeItem name="1308.TW-DXLOrderValueDiffRatio" advise="1">
        <values>
          <value>
            <val>-9.7899999999999991</val>
          </value>
        </values>
      </ddeItem>
      <ddeItem name="1308.TW-ExchangeIndustry" advise="1">
        <values>
          <value t="str">
            <val>上市塑膠</val>
          </value>
        </values>
      </ddeItem>
      <ddeItem name="1308.TW-ID" advise="1">
        <values>
          <value t="str">
            <val>1308</val>
          </value>
        </values>
      </ddeItem>
      <ddeItem name="1308.TW-InOutRatioNumber" advise="1">
        <values>
          <value t="str">
            <val>42.64%</val>
          </value>
        </values>
      </ddeItem>
      <ddeItem name="1308.TW-Name" advise="1">
        <values>
          <value t="str">
            <val>亞聚</val>
          </value>
        </values>
      </ddeItem>
      <ddeItem name="1308.TW-PreTotalVolumeRate" advise="1">
        <values>
          <value>
            <val>0.74</val>
          </value>
        </values>
      </ddeItem>
      <ddeItem name="1308.TW-Price" advise="1">
        <values>
          <value>
            <val>43.6</val>
          </value>
        </values>
      </ddeItem>
      <ddeItem name="1308.TW-PriceChangeRatio" advise="1">
        <values>
          <value>
            <val>0</val>
          </value>
        </values>
      </ddeItem>
      <ddeItem name="1308.TW-Time" advise="1">
        <values>
          <value t="str">
            <val>10:15:17</val>
          </value>
        </values>
      </ddeItem>
      <ddeItem name="1308.TW-VolumeRatio" advise="1">
        <values>
          <value>
            <val>1.43</val>
          </value>
        </values>
      </ddeItem>
      <ddeItem name="1309.TW-5DayAvgVol" advise="1">
        <values>
          <value>
            <val>2377</val>
          </value>
        </values>
      </ddeItem>
      <ddeItem name="1309.TW-AvgPrice" advise="1">
        <values>
          <value>
            <val>36.18</val>
          </value>
        </values>
      </ddeItem>
      <ddeItem name="1309.TW-Capital" advise="1">
        <values>
          <value t="str">
            <val>37.87</val>
          </value>
        </values>
      </ddeItem>
      <ddeItem name="1309.TW-DLOrderValueDiffRatio" advise="1">
        <values>
          <value>
            <val>4.58</val>
          </value>
        </values>
      </ddeItem>
      <ddeItem name="1309.TW-DXLOrderOutValueRatio" advise="1">
        <values>
          <value>
            <val>5.94</val>
          </value>
        </values>
      </ddeItem>
      <ddeItem name="1309.TW-DXLOrderValueDiffRatio" advise="1">
        <values>
          <value>
            <val>-1.88</val>
          </value>
        </values>
      </ddeItem>
      <ddeItem name="1309.TW-ExchangeIndustry" advise="1">
        <values>
          <value t="str">
            <val>上市塑膠</val>
          </value>
        </values>
      </ddeItem>
      <ddeItem name="1309.TW-ID" advise="1">
        <values>
          <value t="str">
            <val>1309</val>
          </value>
        </values>
      </ddeItem>
      <ddeItem name="1309.TW-InOutRatioNumber" advise="1">
        <values>
          <value t="str">
            <val>52.87%</val>
          </value>
        </values>
      </ddeItem>
      <ddeItem name="1309.TW-Name" advise="1">
        <values>
          <value t="str">
            <val>台達化</val>
          </value>
        </values>
      </ddeItem>
      <ddeItem name="1309.TW-PreTotalVolumeRate" advise="1">
        <values>
          <value>
            <val>0.9</val>
          </value>
        </values>
      </ddeItem>
      <ddeItem name="1309.TW-Price" advise="1">
        <values>
          <value>
            <val>36.049999999999997</val>
          </value>
        </values>
      </ddeItem>
      <ddeItem name="1309.TW-PriceChangeRatio" advise="1">
        <values>
          <value>
            <val>1.55</val>
          </value>
        </values>
      </ddeItem>
      <ddeItem name="1309.TW-Time" advise="1">
        <values>
          <value t="str">
            <val>10:15:10</val>
          </value>
        </values>
      </ddeItem>
      <ddeItem name="1309.TW-VolumeRatio" advise="1">
        <values>
          <value>
            <val>1.85</val>
          </value>
        </values>
      </ddeItem>
      <ddeItem name="1310.TW-5DayAvgVol" advise="1">
        <values>
          <value>
            <val>3318</val>
          </value>
        </values>
      </ddeItem>
      <ddeItem name="1310.TW-AvgPrice" advise="1">
        <values>
          <value>
            <val>18.47</val>
          </value>
        </values>
      </ddeItem>
      <ddeItem name="1310.TW-Capital" advise="1">
        <values>
          <value t="str">
            <val>52.79</val>
          </value>
        </values>
      </ddeItem>
      <ddeItem name="1310.TW-DLOrderValueDiffRatio" advise="1">
        <values>
          <value>
            <val>1.81</val>
          </value>
        </values>
      </ddeItem>
      <ddeItem name="1310.TW-DXLOrderOutValueRatio" advise="1">
        <values>
          <value>
            <val>44.9</val>
          </value>
        </values>
      </ddeItem>
      <ddeItem name="1310.TW-DXLOrderValueDiffRatio" advise="1">
        <values>
          <value>
            <val>44.9</val>
          </value>
        </values>
      </ddeItem>
      <ddeItem name="1310.TW-ExchangeIndustry" advise="1">
        <values>
          <value t="str">
            <val>上市塑膠</val>
          </value>
        </values>
      </ddeItem>
      <ddeItem name="1310.TW-ID" advise="1">
        <values>
          <value t="str">
            <val>1310</val>
          </value>
        </values>
      </ddeItem>
      <ddeItem name="1310.TW-InOutRatioNumber" advise="1">
        <values>
          <value t="str">
            <val>78.69%</val>
          </value>
        </values>
      </ddeItem>
      <ddeItem name="1310.TW-Name" advise="1">
        <values>
          <value t="str">
            <val>台苯</val>
          </value>
        </values>
      </ddeItem>
      <ddeItem name="1310.TW-PreTotalVolumeRate" advise="1">
        <values>
          <value>
            <val>0.33</val>
          </value>
        </values>
      </ddeItem>
      <ddeItem name="1310.TW-Price" advise="1">
        <values>
          <value>
            <val>18.5</val>
          </value>
        </values>
      </ddeItem>
      <ddeItem name="1310.TW-PriceChangeRatio" advise="1">
        <values>
          <value>
            <val>1.65</val>
          </value>
        </values>
      </ddeItem>
      <ddeItem name="1310.TW-Time" advise="1">
        <values>
          <value t="str">
            <val>10:15:13</val>
          </value>
        </values>
      </ddeItem>
      <ddeItem name="1310.TW-VolumeRatio" advise="1">
        <values>
          <value>
            <val>0.75</val>
          </value>
        </values>
      </ddeItem>
      <ddeItem name="1312.TW-5DayAvgVol" advise="1">
        <values>
          <value>
            <val>6794</val>
          </value>
        </values>
      </ddeItem>
      <ddeItem name="1312.TW-AvgPrice" advise="1">
        <values>
          <value>
            <val>27.78</val>
          </value>
        </values>
      </ddeItem>
      <ddeItem name="1312.TW-Capital" advise="1">
        <values>
          <value t="str">
            <val>90.66</val>
          </value>
        </values>
      </ddeItem>
      <ddeItem name="1312.TW-DLOrderValueDiffRatio" advise="1">
        <values>
          <value>
            <val>10.220000000000001</val>
          </value>
        </values>
      </ddeItem>
      <ddeItem name="1312.TW-DXLOrderOutValueRatio" advise="1">
        <values>
          <value>
            <val>19.34</val>
          </value>
        </values>
      </ddeItem>
      <ddeItem name="1312.TW-DXLOrderValueDiffRatio" advise="1">
        <values>
          <value>
            <val>7.47</val>
          </value>
        </values>
      </ddeItem>
      <ddeItem name="1312.TW-ExchangeIndustry" advise="1">
        <values>
          <value t="str">
            <val>上市塑膠</val>
          </value>
        </values>
      </ddeItem>
      <ddeItem name="1312.TW-ID" advise="1">
        <values>
          <value t="str">
            <val>1312</val>
          </value>
        </values>
      </ddeItem>
      <ddeItem name="1312.TW-InOutRatioNumber" advise="1">
        <values>
          <value t="str">
            <val>62.60%</val>
          </value>
        </values>
      </ddeItem>
      <ddeItem name="1312.TW-Name" advise="1">
        <values>
          <value t="str">
            <val>國喬</val>
          </value>
        </values>
      </ddeItem>
      <ddeItem name="1312.TW-PreTotalVolumeRate" advise="1">
        <values>
          <value>
            <val>0.85</val>
          </value>
        </values>
      </ddeItem>
      <ddeItem name="1312.TW-Price" advise="1">
        <values>
          <value>
            <val>27.75</val>
          </value>
        </values>
      </ddeItem>
      <ddeItem name="1312.TW-PriceChangeRatio" advise="1">
        <values>
          <value>
            <val>2.02</val>
          </value>
        </values>
      </ddeItem>
      <ddeItem name="1312.TW-Time" advise="1">
        <values>
          <value t="str">
            <val>10:14:08</val>
          </value>
        </values>
      </ddeItem>
      <ddeItem name="1312.TW-VolumeRatio" advise="1">
        <values>
          <value>
            <val>1.84</val>
          </value>
        </values>
      </ddeItem>
      <ddeItem name="1313.TW-5DayAvgVol" advise="1">
        <values>
          <value>
            <val>7992</val>
          </value>
        </values>
      </ddeItem>
      <ddeItem name="1313.TW-AvgPrice" advise="1">
        <values>
          <value>
            <val>24.25</val>
          </value>
        </values>
      </ddeItem>
      <ddeItem name="1313.TW-Capital" advise="1">
        <values>
          <value t="str">
            <val>134.71</val>
          </value>
        </values>
      </ddeItem>
      <ddeItem name="1313.TW-DLOrderValueDiffRatio" advise="1">
        <values>
          <value>
            <val>1.06</val>
          </value>
        </values>
      </ddeItem>
      <ddeItem name="1313.TW-DXLOrderOutValueRatio" advise="1">
        <values>
          <value>
            <val>21.97</val>
          </value>
        </values>
      </ddeItem>
      <ddeItem name="1313.TW-DXLOrderValueDiffRatio" advise="1">
        <values>
          <value>
            <val>13.52</val>
          </value>
        </values>
      </ddeItem>
      <ddeItem name="1313.TW-ExchangeIndustry" advise="1">
        <values>
          <value t="str">
            <val>上市塑膠</val>
          </value>
        </values>
      </ddeItem>
      <ddeItem name="1313.TW-ID" advise="1">
        <values>
          <value t="str">
            <val>1313</val>
          </value>
        </values>
      </ddeItem>
      <ddeItem name="1313.TW-InOutRatioNumber" advise="1">
        <values>
          <value t="str">
            <val>56.26%</val>
          </value>
        </values>
      </ddeItem>
      <ddeItem name="1313.TW-Name" advise="1">
        <values>
          <value t="str">
            <val>聯成</val>
          </value>
        </values>
      </ddeItem>
      <ddeItem name="1313.TW-PreTotalVolumeRate" advise="1">
        <values>
          <value>
            <val>1.36</val>
          </value>
        </values>
      </ddeItem>
      <ddeItem name="1313.TW-Price" advise="1">
        <values>
          <value>
            <val>24.15</val>
          </value>
        </values>
      </ddeItem>
      <ddeItem name="1313.TW-PriceChangeRatio" advise="1">
        <values>
          <value>
            <val>1.9</val>
          </value>
        </values>
      </ddeItem>
      <ddeItem name="1313.TW-Time" advise="1">
        <values>
          <value t="str">
            <val>10:14:44</val>
          </value>
        </values>
      </ddeItem>
      <ddeItem name="1313.TW-VolumeRatio" advise="1">
        <values>
          <value>
            <val>2.7</val>
          </value>
        </values>
      </ddeItem>
      <ddeItem name="1314.TW-5DayAvgVol" advise="1">
        <values>
          <value>
            <val>17754</val>
          </value>
        </values>
      </ddeItem>
      <ddeItem name="1314.TW-AvgPrice" advise="1">
        <values>
          <value>
            <val>12.33</val>
          </value>
        </values>
      </ddeItem>
      <ddeItem name="1314.TW-Capital" advise="1">
        <values>
          <value t="str">
            <val>328.49</val>
          </value>
        </values>
      </ddeItem>
      <ddeItem name="1314.TW-DLOrderValueDiffRatio" advise="1">
        <values>
          <value>
            <val>0.79</val>
          </value>
        </values>
      </ddeItem>
      <ddeItem name="1314.TW-DXLOrderOutValueRatio" advise="1">
        <values>
          <value>
            <val>37.450000000000003</val>
          </value>
        </values>
      </ddeItem>
      <ddeItem name="1314.TW-DXLOrderValueDiffRatio" advise="1">
        <values>
          <value>
            <val>23.16</val>
          </value>
        </values>
      </ddeItem>
      <ddeItem name="1314.TW-ExchangeIndustry" advise="1">
        <values>
          <value t="str">
            <val>上市塑膠</val>
          </value>
        </values>
      </ddeItem>
      <ddeItem name="1314.TW-ID" advise="1">
        <values>
          <value t="str">
            <val>1314</val>
          </value>
        </values>
      </ddeItem>
      <ddeItem name="1314.TW-InOutRatioNumber" advise="1">
        <values>
          <value t="str">
            <val>63.43%</val>
          </value>
        </values>
      </ddeItem>
      <ddeItem name="1314.TW-Name" advise="1">
        <values>
          <value t="str">
            <val>中石化</val>
          </value>
        </values>
      </ddeItem>
      <ddeItem name="1314.TW-PreTotalVolumeRate" advise="1">
        <values>
          <value>
            <val>1.21</val>
          </value>
        </values>
      </ddeItem>
      <ddeItem name="1314.TW-Price" advise="1">
        <values>
          <value>
            <val>12.4</val>
          </value>
        </values>
      </ddeItem>
      <ddeItem name="1314.TW-PriceChangeRatio" advise="1">
        <values>
          <value>
            <val>2.9</val>
          </value>
        </values>
      </ddeItem>
      <ddeItem name="1314.TW-Time" advise="1">
        <values>
          <value t="str">
            <val>10:14:35</val>
          </value>
        </values>
      </ddeItem>
      <ddeItem name="1314.TW-VolumeRatio" advise="1">
        <values>
          <value>
            <val>3.13</val>
          </value>
        </values>
      </ddeItem>
      <ddeItem name="1315.TW-5DayAvgVol" advise="1">
        <values>
          <value>
            <val>28</val>
          </value>
        </values>
      </ddeItem>
      <ddeItem name="1315.TW-AvgPrice" advise="1">
        <values>
          <value>
            <val>61.15</val>
          </value>
        </values>
      </ddeItem>
      <ddeItem name="1315.TW-Capital" advise="1">
        <values>
          <value t="str">
            <val>13.86</val>
          </value>
        </values>
      </ddeItem>
      <ddeItem name="1315.TW-DLOrderValueDiffRatio" advise="1">
        <values>
          <value>
            <val>0</val>
          </value>
        </values>
      </ddeItem>
      <ddeItem name="1315.TW-DXLOrderOutValueRatio" advise="1">
        <values>
          <value>
            <val>0</val>
          </value>
        </values>
      </ddeItem>
      <ddeItem name="1315.TW-DXLOrderValueDiffRatio" advise="1">
        <values>
          <value>
            <val>0</val>
          </value>
        </values>
      </ddeItem>
      <ddeItem name="1315.TW-ExchangeIndustry" advise="1">
        <values>
          <value t="str">
            <val>上市塑膠</val>
          </value>
        </values>
      </ddeItem>
      <ddeItem name="1315.TW-ID" advise="1">
        <values>
          <value t="str">
            <val>1315</val>
          </value>
        </values>
      </ddeItem>
      <ddeItem name="1315.TW-InOutRatioNumber" advise="1">
        <values>
          <value t="str">
            <val>50.00%</val>
          </value>
        </values>
      </ddeItem>
      <ddeItem name="1315.TW-Name" advise="1">
        <values>
          <value t="str">
            <val>達新</val>
          </value>
        </values>
      </ddeItem>
      <ddeItem name="1315.TW-PreTotalVolumeRate" advise="1">
        <values>
          <value>
            <val>0.06</val>
          </value>
        </values>
      </ddeItem>
      <ddeItem name="1315.TW-Price" advise="1">
        <values>
          <value>
            <val>60.6</val>
          </value>
        </values>
      </ddeItem>
      <ddeItem name="1315.TW-PriceChangeRatio" advise="1">
        <values>
          <value>
            <val>-0.66</val>
          </value>
        </values>
      </ddeItem>
      <ddeItem name="1315.TW-Time" advise="1">
        <values>
          <value t="str">
            <val>09:08:46</val>
          </value>
        </values>
      </ddeItem>
      <ddeItem name="1315.TW-VolumeRatio" advise="1">
        <values>
          <value>
            <val>0.34</val>
          </value>
        </values>
      </ddeItem>
      <ddeItem name="1319.TW-5DayAvgVol" advise="1">
        <values>
          <value>
            <val>438</val>
          </value>
        </values>
      </ddeItem>
      <ddeItem name="1319.TW-AvgPrice" advise="1">
        <values>
          <value>
            <val>32.97</val>
          </value>
        </values>
      </ddeItem>
      <ddeItem name="1319.TW-Capital" advise="1">
        <values>
          <value t="str">
            <val>59.15</val>
          </value>
        </values>
      </ddeItem>
      <ddeItem name="1319.TW-DLOrderValueDiffRatio" advise="1">
        <values>
          <value>
            <val>0</val>
          </value>
        </values>
      </ddeItem>
      <ddeItem name="1319.TW-DXLOrderOutValueRatio" advise="1">
        <values>
          <value>
            <val>0</val>
          </value>
        </values>
      </ddeItem>
      <ddeItem name="1319.TW-DXLOrderValueDiffRatio" advise="1">
        <values>
          <value>
            <val>0</val>
          </value>
        </values>
      </ddeItem>
      <ddeItem name="1319.TW-ExchangeIndustry" advise="1">
        <values>
          <value t="str">
            <val>上市汽車</val>
          </value>
        </values>
      </ddeItem>
      <ddeItem name="1319.TW-ID" advise="1">
        <values>
          <value t="str">
            <val>1319</val>
          </value>
        </values>
      </ddeItem>
      <ddeItem name="1319.TW-InOutRatioNumber" advise="1">
        <values>
          <value t="str">
            <val>35.77%</val>
          </value>
        </values>
      </ddeItem>
      <ddeItem name="1319.TW-Name" advise="1">
        <values>
          <value t="str">
            <val>東陽</val>
          </value>
        </values>
      </ddeItem>
      <ddeItem name="1319.TW-PreTotalVolumeRate" advise="1">
        <values>
          <value>
            <val>0.38</val>
          </value>
        </values>
      </ddeItem>
      <ddeItem name="1319.TW-Price" advise="1">
        <values>
          <value>
            <val>32.9</val>
          </value>
        </values>
      </ddeItem>
      <ddeItem name="1319.TW-PriceChangeRatio" advise="1">
        <values>
          <value>
            <val>-0.6</val>
          </value>
        </values>
      </ddeItem>
      <ddeItem name="1319.TW-Time" advise="1">
        <values>
          <value t="str">
            <val>10:13:15</val>
          </value>
        </values>
      </ddeItem>
      <ddeItem name="1319.TW-VolumeRatio" advise="1">
        <values>
          <value>
            <val>1.31</val>
          </value>
        </values>
      </ddeItem>
      <ddeItem name="1321.TW-5DayAvgVol" advise="1">
        <values>
          <value>
            <val>228</val>
          </value>
        </values>
      </ddeItem>
      <ddeItem name="1321.TW-AvgPrice" advise="1">
        <values>
          <value>
            <val>33.119999999999997</val>
          </value>
        </values>
      </ddeItem>
      <ddeItem name="1321.TW-Capital" advise="1">
        <values>
          <value t="str">
            <val>22.72</val>
          </value>
        </values>
      </ddeItem>
      <ddeItem name="1321.TW-DLOrderValueDiffRatio" advise="1">
        <values>
          <value>
            <val>0</val>
          </value>
        </values>
      </ddeItem>
      <ddeItem name="1321.TW-DXLOrderOutValueRatio" advise="1">
        <values>
          <value>
            <val>0</val>
          </value>
        </values>
      </ddeItem>
      <ddeItem name="1321.TW-DXLOrderValueDiffRatio" advise="1">
        <values>
          <value>
            <val>0</val>
          </value>
        </values>
      </ddeItem>
      <ddeItem name="1321.TW-ExchangeIndustry" advise="1">
        <values>
          <value t="str">
            <val>上市塑膠</val>
          </value>
        </values>
      </ddeItem>
      <ddeItem name="1321.TW-ID" advise="1">
        <values>
          <value t="str">
            <val>1321</val>
          </value>
        </values>
      </ddeItem>
      <ddeItem name="1321.TW-InOutRatioNumber" advise="1">
        <values>
          <value t="str">
            <val>0.00%</val>
          </value>
        </values>
      </ddeItem>
      <ddeItem name="1321.TW-Name" advise="1">
        <values>
          <value t="str">
            <val>大洋</val>
          </value>
        </values>
      </ddeItem>
      <ddeItem name="1321.TW-PreTotalVolumeRate" advise="1">
        <values>
          <value>
            <val>0.06</val>
          </value>
        </values>
      </ddeItem>
      <ddeItem name="1321.TW-Price" advise="1">
        <values>
          <value>
            <val>33.200000000000003</val>
          </value>
        </values>
      </ddeItem>
      <ddeItem name="1321.TW-PriceChangeRatio" advise="1">
        <values>
          <value>
            <val>0.15</val>
          </value>
        </values>
      </ddeItem>
      <ddeItem name="1321.TW-Time" advise="1">
        <values>
          <value t="str">
            <val>10:13:44</val>
          </value>
        </values>
      </ddeItem>
      <ddeItem name="1321.TW-VolumeRatio" advise="1">
        <values>
          <value>
            <val>0.17</val>
          </value>
        </values>
      </ddeItem>
      <ddeItem name="1323.TW-5DayAvgVol" advise="1">
        <values>
          <value>
            <val>348</val>
          </value>
        </values>
      </ddeItem>
      <ddeItem name="1323.TW-AvgPrice" advise="1">
        <values>
          <value>
            <val>35.549999999999997</val>
          </value>
        </values>
      </ddeItem>
      <ddeItem name="1323.TW-Capital" advise="1">
        <values>
          <value t="str">
            <val>9.13</val>
          </value>
        </values>
      </ddeItem>
      <ddeItem name="1323.TW-DLOrderValueDiffRatio" advise="1">
        <values>
          <value>
            <val>0</val>
          </value>
        </values>
      </ddeItem>
      <ddeItem name="1323.TW-DXLOrderOutValueRatio" advise="1">
        <values>
          <value>
            <val>0</val>
          </value>
        </values>
      </ddeItem>
      <ddeItem name="1323.TW-DXLOrderValueDiffRatio" advise="1">
        <values>
          <value>
            <val>0</val>
          </value>
        </values>
      </ddeItem>
      <ddeItem name="1323.TW-ExchangeIndustry" advise="1">
        <values>
          <value t="str">
            <val>上市塑膠</val>
          </value>
        </values>
      </ddeItem>
      <ddeItem name="1323.TW-ID" advise="1">
        <values>
          <value t="str">
            <val>1323</val>
          </value>
        </values>
      </ddeItem>
      <ddeItem name="1323.TW-InOutRatioNumber" advise="1">
        <values>
          <value t="str">
            <val>69.81%</val>
          </value>
        </values>
      </ddeItem>
      <ddeItem name="1323.TW-Name" advise="1">
        <values>
          <value t="str">
            <val>永裕</val>
          </value>
        </values>
      </ddeItem>
      <ddeItem name="1323.TW-PreTotalVolumeRate" advise="1">
        <values>
          <value>
            <val>0.26</val>
          </value>
        </values>
      </ddeItem>
      <ddeItem name="1323.TW-Price" advise="1">
        <values>
          <value>
            <val>35.65</val>
          </value>
        </values>
      </ddeItem>
      <ddeItem name="1323.TW-PriceChangeRatio" advise="1">
        <values>
          <value>
            <val>0.42</val>
          </value>
        </values>
      </ddeItem>
      <ddeItem name="1323.TW-Time" advise="1">
        <values>
          <value t="str">
            <val>10:15:18</val>
          </value>
        </values>
      </ddeItem>
      <ddeItem name="1323.TW-VolumeRatio" advise="1">
        <values>
          <value>
            <val>1.53</val>
          </value>
        </values>
      </ddeItem>
      <ddeItem name="1324.TW-5DayAvgVol" advise="1">
        <values>
          <value>
            <val>139</val>
          </value>
        </values>
      </ddeItem>
      <ddeItem name="1324.TW-AvgPrice" advise="1">
        <values>
          <value>
            <val>11.22</val>
          </value>
        </values>
      </ddeItem>
      <ddeItem name="1324.TW-Capital" advise="1">
        <values>
          <value t="str">
            <val>7.51</val>
          </value>
        </values>
      </ddeItem>
      <ddeItem name="1324.TW-DLOrderValueDiffRatio" advise="1">
        <values>
          <value>
            <val>0</val>
          </value>
        </values>
      </ddeItem>
      <ddeItem name="1324.TW-DXLOrderOutValueRatio" advise="1">
        <values>
          <value>
            <val>0</val>
          </value>
        </values>
      </ddeItem>
      <ddeItem name="1324.TW-DXLOrderValueDiffRatio" advise="1">
        <values>
          <value>
            <val>0</val>
          </value>
        </values>
      </ddeItem>
      <ddeItem name="1324.TW-ExchangeIndustry" advise="1">
        <values>
          <value t="str">
            <val>上市塑膠</val>
          </value>
        </values>
      </ddeItem>
      <ddeItem name="1324.TW-ID" advise="1">
        <values>
          <value t="str">
            <val>1324</val>
          </value>
        </values>
      </ddeItem>
      <ddeItem name="1324.TW-InOutRatioNumber" advise="1">
        <values>
          <value t="str">
            <val>48.72%</val>
          </value>
        </values>
      </ddeItem>
      <ddeItem name="1324.TW-Name" advise="1">
        <values>
          <value t="str">
            <val>地球</val>
          </value>
        </values>
      </ddeItem>
      <ddeItem name="1324.TW-PreTotalVolumeRate" advise="1">
        <values>
          <value>
            <val>0.27</val>
          </value>
        </values>
      </ddeItem>
      <ddeItem name="1324.TW-Price" advise="1">
        <values>
          <value>
            <val>11.25</val>
          </value>
        </values>
      </ddeItem>
      <ddeItem name="1324.TW-PriceChangeRatio" advise="1">
        <values>
          <value>
            <val>0.9</val>
          </value>
        </values>
      </ddeItem>
      <ddeItem name="1324.TW-Time" advise="1">
        <values>
          <value t="str">
            <val>10:11:55</val>
          </value>
        </values>
      </ddeItem>
      <ddeItem name="1324.TW-VolumeRatio" advise="1">
        <values>
          <value>
            <val>1.95</val>
          </value>
        </values>
      </ddeItem>
      <ddeItem name="1325.TW-5DayAvgVol" advise="1">
        <values>
          <value>
            <val>463</val>
          </value>
        </values>
      </ddeItem>
      <ddeItem name="1325.TW-AvgPrice" advise="1">
        <values>
          <value>
            <val>39.619999999999997</val>
          </value>
        </values>
      </ddeItem>
      <ddeItem name="1325.TW-Capital" advise="1">
        <values>
          <value t="str">
            <val>8.53</val>
          </value>
        </values>
      </ddeItem>
      <ddeItem name="1325.TW-DLOrderValueDiffRatio" advise="1">
        <values>
          <value>
            <val>6.02</val>
          </value>
        </values>
      </ddeItem>
      <ddeItem name="1325.TW-DXLOrderOutValueRatio" advise="1">
        <values>
          <value>
            <val>0</val>
          </value>
        </values>
      </ddeItem>
      <ddeItem name="1325.TW-DXLOrderValueDiffRatio" advise="1">
        <values>
          <value>
            <val>0</val>
          </value>
        </values>
      </ddeItem>
      <ddeItem name="1325.TW-ExchangeIndustry" advise="1">
        <values>
          <value t="str">
            <val>上市塑膠</val>
          </value>
        </values>
      </ddeItem>
      <ddeItem name="1325.TW-ID" advise="1">
        <values>
          <value t="str">
            <val>1325</val>
          </value>
        </values>
      </ddeItem>
      <ddeItem name="1325.TW-InOutRatioNumber" advise="1">
        <values>
          <value t="str">
            <val>22.90%</val>
          </value>
        </values>
      </ddeItem>
      <ddeItem name="1325.TW-Name" advise="1">
        <values>
          <value t="str">
            <val>恆大</val>
          </value>
        </values>
      </ddeItem>
      <ddeItem name="1325.TW-PreTotalVolumeRate" advise="1">
        <values>
          <value>
            <val>0.61</val>
          </value>
        </values>
      </ddeItem>
      <ddeItem name="1325.TW-Price" advise="1">
        <values>
          <value>
            <val>39.4</val>
          </value>
        </values>
      </ddeItem>
      <ddeItem name="1325.TW-PriceChangeRatio" advise="1">
        <values>
          <value>
            <val>-2.11</val>
          </value>
        </values>
      </ddeItem>
      <ddeItem name="1325.TW-Time" advise="1">
        <values>
          <value t="str">
            <val>10:11:44</val>
          </value>
        </values>
      </ddeItem>
      <ddeItem name="1325.TW-VolumeRatio" advise="1">
        <values>
          <value>
            <val>1.39</val>
          </value>
        </values>
      </ddeItem>
      <ddeItem name="1326.TW-5DayAvgVol" advise="1">
        <values>
          <value>
            <val>5548</val>
          </value>
        </values>
      </ddeItem>
      <ddeItem name="1326.TW-AvgPrice" advise="1">
        <values>
          <value>
            <val>82.97</val>
          </value>
        </values>
      </ddeItem>
      <ddeItem name="1326.TW-Capital" advise="1">
        <values>
          <value t="str">
            <val>586.12</val>
          </value>
        </values>
      </ddeItem>
      <ddeItem name="1326.TW-DLOrderValueDiffRatio" advise="1">
        <values>
          <value>
            <val>-3.04</val>
          </value>
        </values>
      </ddeItem>
      <ddeItem name="1326.TW-DXLOrderOutValueRatio" advise="1">
        <values>
          <value>
            <val>25.86</val>
          </value>
        </values>
      </ddeItem>
      <ddeItem name="1326.TW-DXLOrderValueDiffRatio" advise="1">
        <values>
          <value>
            <val>17.7</val>
          </value>
        </values>
      </ddeItem>
      <ddeItem name="1326.TW-ExchangeIndustry" advise="1">
        <values>
          <value t="str">
            <val>上市塑膠</val>
          </value>
        </values>
      </ddeItem>
      <ddeItem name="1326.TW-ID" advise="1">
        <values>
          <value t="str">
            <val>1326</val>
          </value>
        </values>
      </ddeItem>
      <ddeItem name="1326.TW-InOutRatioNumber" advise="1">
        <values>
          <value t="str">
            <val>55.49%</val>
          </value>
        </values>
      </ddeItem>
      <ddeItem name="1326.TW-Name" advise="1">
        <values>
          <value t="str">
            <val>台化</val>
          </value>
        </values>
      </ddeItem>
      <ddeItem name="1326.TW-PreTotalVolumeRate" advise="1">
        <values>
          <value>
            <val>0.28000000000000003</val>
          </value>
        </values>
      </ddeItem>
      <ddeItem name="1326.TW-Price" advise="1">
        <values>
          <value>
            <val>82.8</val>
          </value>
        </values>
      </ddeItem>
      <ddeItem name="1326.TW-PriceChangeRatio" advise="1">
        <values>
          <value>
            <val>-0.12</val>
          </value>
        </values>
      </ddeItem>
      <ddeItem name="1326.TW-Time" advise="1">
        <values>
          <value t="str">
            <val>10:13:44</val>
          </value>
        </values>
      </ddeItem>
      <ddeItem name="1326.TW-VolumeRatio" advise="1">
        <values>
          <value>
            <val>0.59</val>
          </value>
        </values>
      </ddeItem>
      <ddeItem name="1337.TW-5DayAvgVol" advise="1">
        <values>
          <value>
            <val>398</val>
          </value>
        </values>
      </ddeItem>
      <ddeItem name="1337.TW-AvgPrice" advise="1">
        <values>
          <value>
            <val>7.22</val>
          </value>
        </values>
      </ddeItem>
      <ddeItem name="1337.TW-Capital" advise="1">
        <values>
          <value t="str">
            <val>26.90</val>
          </value>
        </values>
      </ddeItem>
      <ddeItem name="1337.TW-DLOrderValueDiffRatio" advise="1">
        <values>
          <value>
            <val>0</val>
          </value>
        </values>
      </ddeItem>
      <ddeItem name="1337.TW-DXLOrderOutValueRatio" advise="1">
        <values>
          <value>
            <val>0</val>
          </value>
        </values>
      </ddeItem>
      <ddeItem name="1337.TW-DXLOrderValueDiffRatio" advise="1">
        <values>
          <value>
            <val>0</val>
          </value>
        </values>
      </ddeItem>
      <ddeItem name="1337.TW-ExchangeIndustry" advise="1">
        <values>
          <value t="str">
            <val>上市塑膠</val>
          </value>
        </values>
      </ddeItem>
      <ddeItem name="1337.TW-ID" advise="1">
        <values>
          <value t="str">
            <val>1337</val>
          </value>
        </values>
      </ddeItem>
      <ddeItem name="1337.TW-InOutRatioNumber" advise="1">
        <values>
          <value t="str">
            <val>84.39%</val>
          </value>
        </values>
      </ddeItem>
      <ddeItem name="1337.TW-Name" advise="1">
        <values>
          <value t="str">
            <val>再生-KY</val>
          </value>
        </values>
      </ddeItem>
      <ddeItem name="1337.TW-PreTotalVolumeRate" advise="1">
        <values>
          <value>
            <val>1.74</val>
          </value>
        </values>
      </ddeItem>
      <ddeItem name="1337.TW-Price" advise="1">
        <values>
          <value>
            <val>7.31</val>
          </value>
        </values>
      </ddeItem>
      <ddeItem name="1337.TW-PriceChangeRatio" advise="1">
        <values>
          <value>
            <val>2.96</val>
          </value>
        </values>
      </ddeItem>
      <ddeItem name="1337.TW-Time" advise="1">
        <values>
          <value t="str">
            <val>10:11:15</val>
          </value>
        </values>
      </ddeItem>
      <ddeItem name="1337.TW-VolumeRatio" advise="1">
        <values>
          <value>
            <val>4.26</val>
          </value>
        </values>
      </ddeItem>
      <ddeItem name="1338.TW-5DayAvgVol" advise="1">
        <values>
          <value>
            <val>116</val>
          </value>
        </values>
      </ddeItem>
      <ddeItem name="1338.TW-AvgPrice" advise="1">
        <values>
          <value>
            <val>46.25</val>
          </value>
        </values>
      </ddeItem>
      <ddeItem name="1338.TW-Capital" advise="1">
        <values>
          <value t="str">
            <val>8.38</val>
          </value>
        </values>
      </ddeItem>
      <ddeItem name="1338.TW-DLOrderValueDiffRatio" advise="1">
        <values>
          <value>
            <val>-21.26</val>
          </value>
        </values>
      </ddeItem>
      <ddeItem name="1338.TW-DXLOrderOutValueRatio" advise="1">
        <values>
          <value>
            <val>0</val>
          </value>
        </values>
      </ddeItem>
      <ddeItem name="1338.TW-DXLOrderValueDiffRatio" advise="1">
        <values>
          <value>
            <val>0</val>
          </value>
        </values>
      </ddeItem>
      <ddeItem name="1338.TW-ExchangeIndustry" advise="1">
        <values>
          <value t="str">
            <val>上市汽車</val>
          </value>
        </values>
      </ddeItem>
      <ddeItem name="1338.TW-ID" advise="1">
        <values>
          <value t="str">
            <val>1338</val>
          </value>
        </values>
      </ddeItem>
      <ddeItem name="1338.TW-InOutRatioNumber" advise="1">
        <values>
          <value t="str">
            <val>54.67%</val>
          </value>
        </values>
      </ddeItem>
      <ddeItem name="1338.TW-Name" advise="1">
        <values>
          <value t="str">
            <val>廣華-KY</val>
          </value>
        </values>
      </ddeItem>
      <ddeItem name="1338.TW-PreTotalVolumeRate" advise="1">
        <values>
          <value>
            <val>0.69</val>
          </value>
        </values>
      </ddeItem>
      <ddeItem name="1338.TW-Price" advise="1">
        <values>
          <value>
            <val>46.5</val>
          </value>
        </values>
      </ddeItem>
      <ddeItem name="1338.TW-PriceChangeRatio" advise="1">
        <values>
          <value>
            <val>1.64</val>
          </value>
        </values>
      </ddeItem>
      <ddeItem name="1338.TW-Time" advise="1">
        <values>
          <value t="str">
            <val>10:09:58</val>
          </value>
        </values>
      </ddeItem>
      <ddeItem name="1338.TW-VolumeRatio" advise="1">
        <values>
          <value>
            <val>2.1800000000000002</val>
          </value>
        </values>
      </ddeItem>
      <ddeItem name="1339.TW-5DayAvgVol" advise="1">
        <values>
          <value>
            <val>27</val>
          </value>
        </values>
      </ddeItem>
      <ddeItem name="1339.TW-AvgPrice" advise="1">
        <values>
          <value>
            <val>34.159999999999997</val>
          </value>
        </values>
      </ddeItem>
      <ddeItem name="1339.TW-Capital" advise="1">
        <values>
          <value t="str">
            <val>7.41</val>
          </value>
        </values>
      </ddeItem>
      <ddeItem name="1339.TW-DLOrderValueDiffRatio" advise="1">
        <values>
          <value>
            <val>0</val>
          </value>
        </values>
      </ddeItem>
      <ddeItem name="1339.TW-DXLOrderOutValueRatio" advise="1">
        <values>
          <value>
            <val>0</val>
          </value>
        </values>
      </ddeItem>
      <ddeItem name="1339.TW-DXLOrderValueDiffRatio" advise="1">
        <values>
          <value>
            <val>0</val>
          </value>
        </values>
      </ddeItem>
      <ddeItem name="1339.TW-ExchangeIndustry" advise="1">
        <values>
          <value t="str">
            <val>上市汽車</val>
          </value>
        </values>
      </ddeItem>
      <ddeItem name="1339.TW-ID" advise="1">
        <values>
          <value t="str">
            <val>1339</val>
          </value>
        </values>
      </ddeItem>
      <ddeItem name="1339.TW-InOutRatioNumber" advise="1">
        <values>
          <value t="str">
            <val>30.00%</val>
          </value>
        </values>
      </ddeItem>
      <ddeItem name="1339.TW-Name" advise="1">
        <values>
          <value t="str">
            <val>昭輝</val>
          </value>
        </values>
      </ddeItem>
      <ddeItem name="1339.TW-PreTotalVolumeRate" advise="1">
        <values>
          <value>
            <val>0.23</val>
          </value>
        </values>
      </ddeItem>
      <ddeItem name="1339.TW-Price" advise="1">
        <values>
          <value>
            <val>34.4</val>
          </value>
        </values>
      </ddeItem>
      <ddeItem name="1339.TW-PriceChangeRatio" advise="1">
        <values>
          <value>
            <val>0.44</val>
          </value>
        </values>
      </ddeItem>
      <ddeItem name="1339.TW-Time" advise="1">
        <values>
          <value t="str">
            <val>09:34:42</val>
          </value>
        </values>
      </ddeItem>
      <ddeItem name="1339.TW-VolumeRatio" advise="1">
        <values>
          <value>
            <val>0</val>
          </value>
        </values>
      </ddeItem>
      <ddeItem name="1340.TW-5DayAvgVol" advise="1">
        <values>
          <value>
            <val>155</val>
          </value>
        </values>
      </ddeItem>
      <ddeItem name="1340.TW-AvgPrice" advise="1">
        <values>
          <value>
            <val>10.37</val>
          </value>
        </values>
      </ddeItem>
      <ddeItem name="1340.TW-Capital" advise="1">
        <values>
          <value t="str">
            <val>15.29</val>
          </value>
        </values>
      </ddeItem>
      <ddeItem name="1340.TW-DLOrderValueDiffRatio" advise="1">
        <values>
          <value>
            <val>0</val>
          </value>
        </values>
      </ddeItem>
      <ddeItem name="1340.TW-DXLOrderOutValueRatio" advise="1">
        <values>
          <value>
            <val>0</val>
          </value>
        </values>
      </ddeItem>
      <ddeItem name="1340.TW-DXLOrderValueDiffRatio" advise="1">
        <values>
          <value>
            <val>0</val>
          </value>
        </values>
      </ddeItem>
      <ddeItem name="1340.TW-ExchangeIndustry" advise="1">
        <values>
          <value t="str">
            <val>上市塑膠</val>
          </value>
        </values>
      </ddeItem>
      <ddeItem name="1340.TW-ID" advise="1">
        <values>
          <value t="str">
            <val>1340</val>
          </value>
        </values>
      </ddeItem>
      <ddeItem name="1340.TW-InOutRatioNumber" advise="1">
        <values>
          <value t="str">
            <val>58.00%</val>
          </value>
        </values>
      </ddeItem>
      <ddeItem name="1340.TW-Name" advise="1">
        <values>
          <value t="str">
            <val>勝悅-KY</val>
          </value>
        </values>
      </ddeItem>
      <ddeItem name="1340.TW-PreTotalVolumeRate" advise="1">
        <values>
          <value>
            <val>0.17</val>
          </value>
        </values>
      </ddeItem>
      <ddeItem name="1340.TW-Price" advise="1">
        <values>
          <value>
            <val>10.35</val>
          </value>
        </values>
      </ddeItem>
      <ddeItem name="1340.TW-PriceChangeRatio" advise="1">
        <values>
          <value>
            <val>0.98</val>
          </value>
        </values>
      </ddeItem>
      <ddeItem name="1340.TW-Time" advise="1">
        <values>
          <value t="str">
            <val>09:55:38</val>
          </value>
        </values>
      </ddeItem>
      <ddeItem name="1340.TW-VolumeRatio" advise="1">
        <values>
          <value>
            <val>0.87</val>
          </value>
        </values>
      </ddeItem>
      <ddeItem name="1341.TW-5DayAvgVol" advise="1">
        <values>
          <value>
            <val>14</val>
          </value>
        </values>
      </ddeItem>
      <ddeItem name="1341.TW-AvgPrice" advise="1">
        <values>
          <value>
            <val>66.09</val>
          </value>
        </values>
      </ddeItem>
      <ddeItem name="1341.TW-Capital" advise="1">
        <values>
          <value t="str">
            <val>5.04</val>
          </value>
        </values>
      </ddeItem>
      <ddeItem name="1341.TW-DLOrderValueDiffRatio" advise="1">
        <values>
          <value>
            <val>0</val>
          </value>
        </values>
      </ddeItem>
      <ddeItem name="1341.TW-DXLOrderOutValueRatio" advise="1">
        <values>
          <value>
            <val>0</val>
          </value>
        </values>
      </ddeItem>
      <ddeItem name="1341.TW-DXLOrderValueDiffRatio" advise="1">
        <values>
          <value>
            <val>0</val>
          </value>
        </values>
      </ddeItem>
      <ddeItem name="1341.TW-ExchangeIndustry" advise="1">
        <values>
          <value t="str">
            <val>上市塑膠</val>
          </value>
        </values>
      </ddeItem>
      <ddeItem name="1341.TW-ID" advise="1">
        <values>
          <value t="str">
            <val>1341</val>
          </value>
        </values>
      </ddeItem>
      <ddeItem name="1341.TW-InOutRatioNumber" advise="1">
        <values>
          <value t="str">
            <val>0.00%</val>
          </value>
        </values>
      </ddeItem>
      <ddeItem name="1341.TW-Name" advise="1">
        <values>
          <value t="str">
            <val>富林-KY</val>
          </value>
        </values>
      </ddeItem>
      <ddeItem name="1341.TW-PreTotalVolumeRate" advise="1">
        <values>
          <value>
            <val>0.47</val>
          </value>
        </values>
      </ddeItem>
      <ddeItem name="1341.TW-Price" advise="1">
        <values>
          <value>
            <val>65.8</val>
          </value>
        </values>
      </ddeItem>
      <ddeItem name="1341.TW-PriceChangeRatio" advise="1">
        <values>
          <value>
            <val>-1.79</val>
          </value>
        </values>
      </ddeItem>
      <ddeItem name="1341.TW-Time" advise="1">
        <values>
          <value t="str">
            <val>09:59:32</val>
          </value>
        </values>
      </ddeItem>
      <ddeItem name="1341.TW-VolumeRatio" advise="1">
        <values>
          <value>
            <val>0</val>
          </value>
        </values>
      </ddeItem>
      <ddeItem name="1402.TW-5DayAvgVol" advise="1">
        <values>
          <value>
            <val>4755</val>
          </value>
        </values>
      </ddeItem>
      <ddeItem name="1402.TW-AvgPrice" advise="1">
        <values>
          <value>
            <val>29.45</val>
          </value>
        </values>
      </ddeItem>
      <ddeItem name="1402.TW-Capital" advise="1">
        <values>
          <value t="str">
            <val>535.29</val>
          </value>
        </values>
      </ddeItem>
      <ddeItem name="1402.TW-DLOrderValueDiffRatio" advise="1">
        <values>
          <value>
            <val>1.65</val>
          </value>
        </values>
      </ddeItem>
      <ddeItem name="1402.TW-DXLOrderOutValueRatio" advise="1">
        <values>
          <value>
            <val>30.15</val>
          </value>
        </values>
      </ddeItem>
      <ddeItem name="1402.TW-DXLOrderValueDiffRatio" advise="1">
        <values>
          <value>
            <val>18.73</val>
          </value>
        </values>
      </ddeItem>
      <ddeItem name="1402.TW-ExchangeIndustry" advise="1">
        <values>
          <value t="str">
            <val>上市紡織纖維</val>
          </value>
        </values>
      </ddeItem>
      <ddeItem name="1402.TW-ID" advise="1">
        <values>
          <value t="str">
            <val>1402</val>
          </value>
        </values>
      </ddeItem>
      <ddeItem name="1402.TW-InOutRatioNumber" advise="1">
        <values>
          <value t="str">
            <val>56.99%</val>
          </value>
        </values>
      </ddeItem>
      <ddeItem name="1402.TW-Name" advise="1">
        <values>
          <value t="str">
            <val>遠東新</val>
          </value>
        </values>
      </ddeItem>
      <ddeItem name="1402.TW-PreTotalVolumeRate" advise="1">
        <values>
          <value>
            <val>0.39</val>
          </value>
        </values>
      </ddeItem>
      <ddeItem name="1402.TW-Price" advise="1">
        <values>
          <value>
            <val>29.4</val>
          </value>
        </values>
      </ddeItem>
      <ddeItem name="1402.TW-PriceChangeRatio" advise="1">
        <values>
          <value>
            <val>0.34</val>
          </value>
        </values>
      </ddeItem>
      <ddeItem name="1402.TW-Time" advise="1">
        <values>
          <value t="str">
            <val>10:14:45</val>
          </value>
        </values>
      </ddeItem>
      <ddeItem name="1402.TW-VolumeRatio" advise="1">
        <values>
          <value>
            <val>0.94</val>
          </value>
        </values>
      </ddeItem>
      <ddeItem name="1409.TW-5DayAvgVol" advise="1">
        <values>
          <value>
            <val>4045</val>
          </value>
        </values>
      </ddeItem>
      <ddeItem name="1409.TW-AvgPrice" advise="1">
        <values>
          <value>
            <val>18.95</val>
          </value>
        </values>
      </ddeItem>
      <ddeItem name="1409.TW-Capital" advise="1">
        <values>
          <value t="str">
            <val>161.84</val>
          </value>
        </values>
      </ddeItem>
      <ddeItem name="1409.TW-DLOrderValueDiffRatio" advise="1">
        <values>
          <value>
            <val>-6.09</val>
          </value>
        </values>
      </ddeItem>
      <ddeItem name="1409.TW-DXLOrderOutValueRatio" advise="1">
        <values>
          <value>
            <val>24.57</val>
          </value>
        </values>
      </ddeItem>
      <ddeItem name="1409.TW-DXLOrderValueDiffRatio" advise="1">
        <values>
          <value>
            <val>13.81</val>
          </value>
        </values>
      </ddeItem>
      <ddeItem name="1409.TW-ExchangeIndustry" advise="1">
        <values>
          <value t="str">
            <val>上市紡織纖維</val>
          </value>
        </values>
      </ddeItem>
      <ddeItem name="1409.TW-ID" advise="1">
        <values>
          <value t="str">
            <val>1409</val>
          </value>
        </values>
      </ddeItem>
      <ddeItem name="1409.TW-InOutRatioNumber" advise="1">
        <values>
          <value t="str">
            <val>61.09%</val>
          </value>
        </values>
      </ddeItem>
      <ddeItem name="1409.TW-Name" advise="1">
        <values>
          <value t="str">
            <val>新纖</val>
          </value>
        </values>
      </ddeItem>
      <ddeItem name="1409.TW-PreTotalVolumeRate" advise="1">
        <values>
          <value>
            <val>0.71</val>
          </value>
        </values>
      </ddeItem>
      <ddeItem name="1409.TW-Price" advise="1">
        <values>
          <value>
            <val>19</val>
          </value>
        </values>
      </ddeItem>
      <ddeItem name="1409.TW-PriceChangeRatio" advise="1">
        <values>
          <value>
            <val>1.33</val>
          </value>
        </values>
      </ddeItem>
      <ddeItem name="1409.TW-Time" advise="1">
        <values>
          <value t="str">
            <val>10:15:16</val>
          </value>
        </values>
      </ddeItem>
      <ddeItem name="1409.TW-VolumeRatio" advise="1">
        <values>
          <value>
            <val>1.54</val>
          </value>
        </values>
      </ddeItem>
      <ddeItem name="1410.TW-5DayAvgVol" advise="1">
        <values>
          <value>
            <val>9</val>
          </value>
        </values>
      </ddeItem>
      <ddeItem name="1410.TW-AvgPrice" advise="1">
        <values>
          <value t="str">
            <val>--</val>
          </value>
        </values>
      </ddeItem>
      <ddeItem name="1410.TW-Capital" advise="1">
        <values>
          <value t="str">
            <val>6.30</val>
          </value>
        </values>
      </ddeItem>
      <ddeItem name="1410.TW-DLOrderValueDiffRatio" advise="1">
        <values>
          <value>
            <val>0</val>
          </value>
        </values>
      </ddeItem>
      <ddeItem name="1410.TW-DXLOrderOutValueRatio" advise="1">
        <values>
          <value>
            <val>0</val>
          </value>
        </values>
      </ddeItem>
      <ddeItem name="1410.TW-DXLOrderValueDiffRatio" advise="1">
        <values>
          <value>
            <val>0</val>
          </value>
        </values>
      </ddeItem>
      <ddeItem name="1410.TW-ExchangeIndustry" advise="1">
        <values>
          <value t="str">
            <val>上市紡織纖維</val>
          </value>
        </values>
      </ddeItem>
      <ddeItem name="1410.TW-ID" advise="1">
        <values>
          <value t="str">
            <val>1410</val>
          </value>
        </values>
      </ddeItem>
      <ddeItem name="1410.TW-InOutRatioNumber" advise="1">
        <values>
          <value t="str">
            <val>--</val>
          </value>
        </values>
      </ddeItem>
      <ddeItem name="1410.TW-Name" advise="1">
        <values>
          <value t="str">
            <val>南染</val>
          </value>
        </values>
      </ddeItem>
      <ddeItem name="1410.TW-PreTotalVolumeRate" advise="1">
        <values>
          <value>
            <val>0</val>
          </value>
        </values>
      </ddeItem>
      <ddeItem name="1410.TW-Price" advise="1">
        <values>
          <value t="str">
            <val>--</val>
          </value>
        </values>
      </ddeItem>
      <ddeItem name="1410.TW-PriceChangeRatio" advise="1">
        <values>
          <value t="str">
            <val>--</val>
          </value>
        </values>
      </ddeItem>
      <ddeItem name="1410.TW-Time" advise="1">
        <values>
          <value t="str">
            <val>--</val>
          </value>
        </values>
      </ddeItem>
      <ddeItem name="1410.TW-VolumeRatio" advise="1">
        <values>
          <value>
            <val>0</val>
          </value>
        </values>
      </ddeItem>
      <ddeItem name="1413.TW-5DayAvgVol" advise="1">
        <values>
          <value>
            <val>148</val>
          </value>
        </values>
      </ddeItem>
      <ddeItem name="1413.TW-AvgPrice" advise="1">
        <values>
          <value>
            <val>9.99</val>
          </value>
        </values>
      </ddeItem>
      <ddeItem name="1413.TW-Capital" advise="1">
        <values>
          <value t="str">
            <val>13.21</val>
          </value>
        </values>
      </ddeItem>
      <ddeItem name="1413.TW-DLOrderValueDiffRatio" advise="1">
        <values>
          <value>
            <val>0</val>
          </value>
        </values>
      </ddeItem>
      <ddeItem name="1413.TW-DXLOrderOutValueRatio" advise="1">
        <values>
          <value>
            <val>0</val>
          </value>
        </values>
      </ddeItem>
      <ddeItem name="1413.TW-DXLOrderValueDiffRatio" advise="1">
        <values>
          <value>
            <val>0</val>
          </value>
        </values>
      </ddeItem>
      <ddeItem name="1413.TW-ExchangeIndustry" advise="1">
        <values>
          <value t="str">
            <val>上市紡織纖維</val>
          </value>
        </values>
      </ddeItem>
      <ddeItem name="1413.TW-ID" advise="1">
        <values>
          <value t="str">
            <val>1413</val>
          </value>
        </values>
      </ddeItem>
      <ddeItem name="1413.TW-InOutRatioNumber" advise="1">
        <values>
          <value t="str">
            <val>44.44%</val>
          </value>
        </values>
      </ddeItem>
      <ddeItem name="1413.TW-Name" advise="1">
        <values>
          <value t="str">
            <val>宏洲</val>
          </value>
        </values>
      </ddeItem>
      <ddeItem name="1413.TW-PreTotalVolumeRate" advise="1">
        <values>
          <value>
            <val>0.11</val>
          </value>
        </values>
      </ddeItem>
      <ddeItem name="1413.TW-Price" advise="1">
        <values>
          <value>
            <val>10</val>
          </value>
        </values>
      </ddeItem>
      <ddeItem name="1413.TW-PriceChangeRatio" advise="1">
        <values>
          <value>
            <val>0.2</val>
          </value>
        </values>
      </ddeItem>
      <ddeItem name="1413.TW-Time" advise="1">
        <values>
          <value t="str">
            <val>10:07:43</val>
          </value>
        </values>
      </ddeItem>
      <ddeItem name="1413.TW-VolumeRatio" advise="1">
        <values>
          <value>
            <val>0.24</val>
          </value>
        </values>
      </ddeItem>
      <ddeItem name="1414.TW-5DayAvgVol" advise="1">
        <values>
          <value>
            <val>2779</val>
          </value>
        </values>
      </ddeItem>
      <ddeItem name="1414.TW-AvgPrice" advise="1">
        <values>
          <value>
            <val>16.39</val>
          </value>
        </values>
      </ddeItem>
      <ddeItem name="1414.TW-Capital" advise="1">
        <values>
          <value t="str">
            <val>22.00</val>
          </value>
        </values>
      </ddeItem>
      <ddeItem name="1414.TW-DLOrderValueDiffRatio" advise="1">
        <values>
          <value>
            <val>0</val>
          </value>
        </values>
      </ddeItem>
      <ddeItem name="1414.TW-DXLOrderOutValueRatio" advise="1">
        <values>
          <value>
            <val>0</val>
          </value>
        </values>
      </ddeItem>
      <ddeItem name="1414.TW-DXLOrderValueDiffRatio" advise="1">
        <values>
          <value>
            <val>0</val>
          </value>
        </values>
      </ddeItem>
      <ddeItem name="1414.TW-ExchangeIndustry" advise="1">
        <values>
          <value t="str">
            <val>上市紡織纖維</val>
          </value>
        </values>
      </ddeItem>
      <ddeItem name="1414.TW-ID" advise="1">
        <values>
          <value t="str">
            <val>1414</val>
          </value>
        </values>
      </ddeItem>
      <ddeItem name="1414.TW-InOutRatioNumber" advise="1">
        <values>
          <value t="str">
            <val>66.08%</val>
          </value>
        </values>
      </ddeItem>
      <ddeItem name="1414.TW-Name" advise="1">
        <values>
          <value t="str">
            <val>東和</val>
          </value>
        </values>
      </ddeItem>
      <ddeItem name="1414.TW-PreTotalVolumeRate" advise="1">
        <values>
          <value>
            <val>0.12</val>
          </value>
        </values>
      </ddeItem>
      <ddeItem name="1414.TW-Price" advise="1">
        <values>
          <value>
            <val>16.55</val>
          </value>
        </values>
      </ddeItem>
      <ddeItem name="1414.TW-PriceChangeRatio" advise="1">
        <values>
          <value>
            <val>1.85</val>
          </value>
        </values>
      </ddeItem>
      <ddeItem name="1414.TW-Time" advise="1">
        <values>
          <value t="str">
            <val>10:14:16</val>
          </value>
        </values>
      </ddeItem>
      <ddeItem name="1414.TW-VolumeRatio" advise="1">
        <values>
          <value>
            <val>0.21</val>
          </value>
        </values>
      </ddeItem>
      <ddeItem name="1417.TW-5DayAvgVol" advise="1">
        <values>
          <value>
            <val>242</val>
          </value>
        </values>
      </ddeItem>
      <ddeItem name="1417.TW-AvgPrice" advise="1">
        <values>
          <value>
            <val>13.79</val>
          </value>
        </values>
      </ddeItem>
      <ddeItem name="1417.TW-Capital" advise="1">
        <values>
          <value t="str">
            <val>18.99</val>
          </value>
        </values>
      </ddeItem>
      <ddeItem name="1417.TW-DLOrderValueDiffRatio" advise="1">
        <values>
          <value>
            <val>4.1100000000000003</val>
          </value>
        </values>
      </ddeItem>
      <ddeItem name="1417.TW-DXLOrderOutValueRatio" advise="1">
        <values>
          <value>
            <val>48.88</val>
          </value>
        </values>
      </ddeItem>
      <ddeItem name="1417.TW-DXLOrderValueDiffRatio" advise="1">
        <values>
          <value>
            <val>48.88</val>
          </value>
        </values>
      </ddeItem>
      <ddeItem name="1417.TW-ExchangeIndustry" advise="1">
        <values>
          <value t="str">
            <val>上市紡織纖維</val>
          </value>
        </values>
      </ddeItem>
      <ddeItem name="1417.TW-ID" advise="1">
        <values>
          <value t="str">
            <val>1417</val>
          </value>
        </values>
      </ddeItem>
      <ddeItem name="1417.TW-InOutRatioNumber" advise="1">
        <values>
          <value t="str">
            <val>79.64%</val>
          </value>
        </values>
      </ddeItem>
      <ddeItem name="1417.TW-Name" advise="1">
        <values>
          <value t="str">
            <val>嘉裕</val>
          </value>
        </values>
      </ddeItem>
      <ddeItem name="1417.TW-PreTotalVolumeRate" advise="1">
        <values>
          <value>
            <val>2.2000000000000002</val>
          </value>
        </values>
      </ddeItem>
      <ddeItem name="1417.TW-Price" advise="1">
        <values>
          <value>
            <val>13.85</val>
          </value>
        </values>
      </ddeItem>
      <ddeItem name="1417.TW-PriceChangeRatio" advise="1">
        <values>
          <value>
            <val>1.47</val>
          </value>
        </values>
      </ddeItem>
      <ddeItem name="1417.TW-Time" advise="1">
        <values>
          <value t="str">
            <val>10:14:58</val>
          </value>
        </values>
      </ddeItem>
      <ddeItem name="1417.TW-VolumeRatio" advise="1">
        <values>
          <value>
            <val>6.33</val>
          </value>
        </values>
      </ddeItem>
      <ddeItem name="1418.TW-5DayAvgVol" advise="1">
        <values>
          <value>
            <val>12</val>
          </value>
        </values>
      </ddeItem>
      <ddeItem name="1418.TW-AvgPrice" advise="1">
        <values>
          <value>
            <val>10.8</val>
          </value>
        </values>
      </ddeItem>
      <ddeItem name="1418.TW-Capital" advise="1">
        <values>
          <value t="str">
            <val>5.68</val>
          </value>
        </values>
      </ddeItem>
      <ddeItem name="1418.TW-DLOrderValueDiffRatio" advise="1">
        <values>
          <value>
            <val>0</val>
          </value>
        </values>
      </ddeItem>
      <ddeItem name="1418.TW-DXLOrderOutValueRatio" advise="1">
        <values>
          <value>
            <val>0</val>
          </value>
        </values>
      </ddeItem>
      <ddeItem name="1418.TW-DXLOrderValueDiffRatio" advise="1">
        <values>
          <value>
            <val>0</val>
          </value>
        </values>
      </ddeItem>
      <ddeItem name="1418.TW-ExchangeIndustry" advise="1">
        <values>
          <value t="str">
            <val>上市紡織纖維</val>
          </value>
        </values>
      </ddeItem>
      <ddeItem name="1418.TW-ID" advise="1">
        <values>
          <value t="str">
            <val>1418</val>
          </value>
        </values>
      </ddeItem>
      <ddeItem name="1418.TW-InOutRatioNumber" advise="1">
        <values>
          <value t="str">
            <val>--</val>
          </value>
        </values>
      </ddeItem>
      <ddeItem name="1418.TW-Name" advise="1">
        <values>
          <value t="str">
            <val>東華</val>
          </value>
        </values>
      </ddeItem>
      <ddeItem name="1418.TW-PreTotalVolumeRate" advise="1">
        <values>
          <value>
            <val>0.14000000000000001</val>
          </value>
        </values>
      </ddeItem>
      <ddeItem name="1418.TW-Price" advise="1">
        <values>
          <value>
            <val>10.8</val>
          </value>
        </values>
      </ddeItem>
      <ddeItem name="1418.TW-PriceChangeRatio" advise="1">
        <values>
          <value>
            <val>0</val>
          </value>
        </values>
      </ddeItem>
      <ddeItem name="1418.TW-Time" advise="1">
        <values>
          <value t="str">
            <val>09:00:12</val>
          </value>
        </values>
      </ddeItem>
      <ddeItem name="1418.TW-VolumeRatio" advise="1">
        <values>
          <value>
            <val>0</val>
          </value>
        </values>
      </ddeItem>
      <ddeItem name="1419.TW-5DayAvgVol" advise="1">
        <values>
          <value>
            <val>37</val>
          </value>
        </values>
      </ddeItem>
      <ddeItem name="1419.TW-AvgPrice" advise="1">
        <values>
          <value t="str">
            <val>--</val>
          </value>
        </values>
      </ddeItem>
      <ddeItem name="1419.TW-Capital" advise="1">
        <values>
          <value t="str">
            <val>30.00</val>
          </value>
        </values>
      </ddeItem>
      <ddeItem name="1419.TW-DLOrderValueDiffRatio" advise="1">
        <values>
          <value>
            <val>0</val>
          </value>
        </values>
      </ddeItem>
      <ddeItem name="1419.TW-DXLOrderOutValueRatio" advise="1">
        <values>
          <value>
            <val>0</val>
          </value>
        </values>
      </ddeItem>
      <ddeItem name="1419.TW-DXLOrderValueDiffRatio" advise="1">
        <values>
          <value>
            <val>0</val>
          </value>
        </values>
      </ddeItem>
      <ddeItem name="1419.TW-ExchangeIndustry" advise="1">
        <values>
          <value t="str">
            <val>上市紡織纖維</val>
          </value>
        </values>
      </ddeItem>
      <ddeItem name="1419.TW-ID" advise="1">
        <values>
          <value t="str">
            <val>1419</val>
          </value>
        </values>
      </ddeItem>
      <ddeItem name="1419.TW-InOutRatioNumber" advise="1">
        <values>
          <value t="str">
            <val>--</val>
          </value>
        </values>
      </ddeItem>
      <ddeItem name="1419.TW-Name" advise="1">
        <values>
          <value t="str">
            <val>新紡</val>
          </value>
        </values>
      </ddeItem>
      <ddeItem name="1419.TW-PreTotalVolumeRate" advise="1">
        <values>
          <value>
            <val>0</val>
          </value>
        </values>
      </ddeItem>
      <ddeItem name="1419.TW-Price" advise="1">
        <values>
          <value t="str">
            <val>--</val>
          </value>
        </values>
      </ddeItem>
      <ddeItem name="1419.TW-PriceChangeRatio" advise="1">
        <values>
          <value t="str">
            <val>--</val>
          </value>
        </values>
      </ddeItem>
      <ddeItem name="1419.TW-Time" advise="1">
        <values>
          <value t="str">
            <val>--</val>
          </value>
        </values>
      </ddeItem>
      <ddeItem name="1419.TW-VolumeRatio" advise="1">
        <values>
          <value>
            <val>0</val>
          </value>
        </values>
      </ddeItem>
      <ddeItem name="1423.TW-5DayAvgVol" advise="1">
        <values>
          <value>
            <val>87</val>
          </value>
        </values>
      </ddeItem>
      <ddeItem name="1423.TW-AvgPrice" advise="1">
        <values>
          <value>
            <val>17.23</val>
          </value>
        </values>
      </ddeItem>
      <ddeItem name="1423.TW-Capital" advise="1">
        <values>
          <value t="str">
            <val>13.84</val>
          </value>
        </values>
      </ddeItem>
      <ddeItem name="1423.TW-DLOrderValueDiffRatio" advise="1">
        <values>
          <value>
            <val>0</val>
          </value>
        </values>
      </ddeItem>
      <ddeItem name="1423.TW-DXLOrderOutValueRatio" advise="1">
        <values>
          <value>
            <val>0</val>
          </value>
        </values>
      </ddeItem>
      <ddeItem name="1423.TW-DXLOrderValueDiffRatio" advise="1">
        <values>
          <value>
            <val>0</val>
          </value>
        </values>
      </ddeItem>
      <ddeItem name="1423.TW-ExchangeIndustry" advise="1">
        <values>
          <value t="str">
            <val>上市紡織纖維</val>
          </value>
        </values>
      </ddeItem>
      <ddeItem name="1423.TW-ID" advise="1">
        <values>
          <value t="str">
            <val>1423</val>
          </value>
        </values>
      </ddeItem>
      <ddeItem name="1423.TW-InOutRatioNumber" advise="1">
        <values>
          <value t="str">
            <val>42.86%</val>
          </value>
        </values>
      </ddeItem>
      <ddeItem name="1423.TW-Name" advise="1">
        <values>
          <value t="str">
            <val>利華</val>
          </value>
        </values>
      </ddeItem>
      <ddeItem name="1423.TW-PreTotalVolumeRate" advise="1">
        <values>
          <value>
            <val>0.13</val>
          </value>
        </values>
      </ddeItem>
      <ddeItem name="1423.TW-Price" advise="1">
        <values>
          <value>
            <val>17.25</val>
          </value>
        </values>
      </ddeItem>
      <ddeItem name="1423.TW-PriceChangeRatio" advise="1">
        <values>
          <value>
            <val>-0.57999999999999996</val>
          </value>
        </values>
      </ddeItem>
      <ddeItem name="1423.TW-Time" advise="1">
        <values>
          <value t="str">
            <val>09:29:52</val>
          </value>
        </values>
      </ddeItem>
      <ddeItem name="1423.TW-VolumeRatio" advise="1">
        <values>
          <value>
            <val>0.92</val>
          </value>
        </values>
      </ddeItem>
      <ddeItem name="1434.TW-5DayAvgVol" advise="1">
        <values>
          <value>
            <val>2045</val>
          </value>
        </values>
      </ddeItem>
      <ddeItem name="1434.TW-AvgPrice" advise="1">
        <values>
          <value>
            <val>30.03</val>
          </value>
        </values>
      </ddeItem>
      <ddeItem name="1434.TW-Capital" advise="1">
        <values>
          <value t="str">
            <val>168.47</val>
          </value>
        </values>
      </ddeItem>
      <ddeItem name="1434.TW-DLOrderValueDiffRatio" advise="1">
        <values>
          <value>
            <val>3.32</val>
          </value>
        </values>
      </ddeItem>
      <ddeItem name="1434.TW-DXLOrderOutValueRatio" advise="1">
        <values>
          <value>
            <val>5.42</val>
          </value>
        </values>
      </ddeItem>
      <ddeItem name="1434.TW-DXLOrderValueDiffRatio" advise="1">
        <values>
          <value>
            <val>-6.47</val>
          </value>
        </values>
      </ddeItem>
      <ddeItem name="1434.TW-ExchangeIndustry" advise="1">
        <values>
          <value t="str">
            <val>上市紡織纖維</val>
          </value>
        </values>
      </ddeItem>
      <ddeItem name="1434.TW-ID" advise="1">
        <values>
          <value t="str">
            <val>1434</val>
          </value>
        </values>
      </ddeItem>
      <ddeItem name="1434.TW-InOutRatioNumber" advise="1">
        <values>
          <value t="str">
            <val>33.95%</val>
          </value>
        </values>
      </ddeItem>
      <ddeItem name="1434.TW-Name" advise="1">
        <values>
          <value t="str">
            <val>福懋</val>
          </value>
        </values>
      </ddeItem>
      <ddeItem name="1434.TW-PreTotalVolumeRate" advise="1">
        <values>
          <value>
            <val>0.39</val>
          </value>
        </values>
      </ddeItem>
      <ddeItem name="1434.TW-Price" advise="1">
        <values>
          <value>
            <val>30</val>
          </value>
        </values>
      </ddeItem>
      <ddeItem name="1434.TW-PriceChangeRatio" advise="1">
        <values>
          <value>
            <val>0.33</val>
          </value>
        </values>
      </ddeItem>
      <ddeItem name="1434.TW-Time" advise="1">
        <values>
          <value t="str">
            <val>10:13:15</val>
          </value>
        </values>
      </ddeItem>
      <ddeItem name="1434.TW-VolumeRatio" advise="1">
        <values>
          <value>
            <val>0.96</val>
          </value>
        </values>
      </ddeItem>
      <ddeItem name="1439.TW-5DayAvgVol" advise="1">
        <values>
          <value>
            <val>15</val>
          </value>
        </values>
      </ddeItem>
      <ddeItem name="1439.TW-AvgPrice" advise="1">
        <values>
          <value t="str">
            <val>--</val>
          </value>
        </values>
      </ddeItem>
      <ddeItem name="1439.TW-Capital" advise="1">
        <values>
          <value t="str">
            <val>9.20</val>
          </value>
        </values>
      </ddeItem>
      <ddeItem name="1439.TW-DLOrderValueDiffRatio" advise="1">
        <values>
          <value>
            <val>0</val>
          </value>
        </values>
      </ddeItem>
      <ddeItem name="1439.TW-DXLOrderOutValueRatio" advise="1">
        <values>
          <value>
            <val>0</val>
          </value>
        </values>
      </ddeItem>
      <ddeItem name="1439.TW-DXLOrderValueDiffRatio" advise="1">
        <values>
          <value>
            <val>0</val>
          </value>
        </values>
      </ddeItem>
      <ddeItem name="1439.TW-ExchangeIndustry" advise="1">
        <values>
          <value t="str">
            <val>上市紡織纖維</val>
          </value>
        </values>
      </ddeItem>
      <ddeItem name="1439.TW-ID" advise="1">
        <values>
          <value t="str">
            <val>1439</val>
          </value>
        </values>
      </ddeItem>
      <ddeItem name="1439.TW-InOutRatioNumber" advise="1">
        <values>
          <value t="str">
            <val>--</val>
          </value>
        </values>
      </ddeItem>
      <ddeItem name="1439.TW-Name" advise="1">
        <values>
          <value t="str">
            <val>中和</val>
          </value>
        </values>
      </ddeItem>
      <ddeItem name="1439.TW-PreTotalVolumeRate" advise="1">
        <values>
          <value>
            <val>0</val>
          </value>
        </values>
      </ddeItem>
      <ddeItem name="1439.TW-Price" advise="1">
        <values>
          <value t="str">
            <val>--</val>
          </value>
        </values>
      </ddeItem>
      <ddeItem name="1439.TW-PriceChangeRatio" advise="1">
        <values>
          <value t="str">
            <val>--</val>
          </value>
        </values>
      </ddeItem>
      <ddeItem name="1439.TW-Time" advise="1">
        <values>
          <value t="str">
            <val>--</val>
          </value>
        </values>
      </ddeItem>
      <ddeItem name="1439.TW-VolumeRatio" advise="1">
        <values>
          <value>
            <val>0</val>
          </value>
        </values>
      </ddeItem>
      <ddeItem name="1440.TW-5DayAvgVol" advise="1">
        <values>
          <value>
            <val>14900</val>
          </value>
        </values>
      </ddeItem>
      <ddeItem name="1440.TW-AvgPrice" advise="1">
        <values>
          <value>
            <val>21.1</val>
          </value>
        </values>
      </ddeItem>
      <ddeItem name="1440.TW-Capital" advise="1">
        <values>
          <value t="str">
            <val>165.68</val>
          </value>
        </values>
      </ddeItem>
      <ddeItem name="1440.TW-DLOrderValueDiffRatio" advise="1">
        <values>
          <value>
            <val>4.42</val>
          </value>
        </values>
      </ddeItem>
      <ddeItem name="1440.TW-DXLOrderOutValueRatio" advise="1">
        <values>
          <value>
            <val>10.67</val>
          </value>
        </values>
      </ddeItem>
      <ddeItem name="1440.TW-DXLOrderValueDiffRatio" advise="1">
        <values>
          <value>
            <val>-3.19</val>
          </value>
        </values>
      </ddeItem>
      <ddeItem name="1440.TW-ExchangeIndustry" advise="1">
        <values>
          <value t="str">
            <val>上市紡織纖維</val>
          </value>
        </values>
      </ddeItem>
      <ddeItem name="1440.TW-ID" advise="1">
        <values>
          <value t="str">
            <val>1440</val>
          </value>
        </values>
      </ddeItem>
      <ddeItem name="1440.TW-InOutRatioNumber" advise="1">
        <values>
          <value t="str">
            <val>48.78%</val>
          </value>
        </values>
      </ddeItem>
      <ddeItem name="1440.TW-Name" advise="1">
        <values>
          <value t="str">
            <val>南紡</val>
          </value>
        </values>
      </ddeItem>
      <ddeItem name="1440.TW-PreTotalVolumeRate" advise="1">
        <values>
          <value>
            <val>0.38</val>
          </value>
        </values>
      </ddeItem>
      <ddeItem name="1440.TW-Price" advise="1">
        <values>
          <value>
            <val>21.25</val>
          </value>
        </values>
      </ddeItem>
      <ddeItem name="1440.TW-PriceChangeRatio" advise="1">
        <values>
          <value>
            <val>0.47</val>
          </value>
        </values>
      </ddeItem>
      <ddeItem name="1440.TW-Time" advise="1">
        <values>
          <value t="str">
            <val>10:15:14</val>
          </value>
        </values>
      </ddeItem>
      <ddeItem name="1440.TW-VolumeRatio" advise="1">
        <values>
          <value>
            <val>0.65</val>
          </value>
        </values>
      </ddeItem>
      <ddeItem name="1441.TW-5DayAvgVol" advise="1">
        <values>
          <value>
            <val>90</val>
          </value>
        </values>
      </ddeItem>
      <ddeItem name="1441.TW-AvgPrice" advise="1">
        <values>
          <value>
            <val>9.3699999999999992</val>
          </value>
        </values>
      </ddeItem>
      <ddeItem name="1441.TW-Capital" advise="1">
        <values>
          <value t="str">
            <val>10.08</val>
          </value>
        </values>
      </ddeItem>
      <ddeItem name="1441.TW-DLOrderValueDiffRatio" advise="1">
        <values>
          <value>
            <val>0</val>
          </value>
        </values>
      </ddeItem>
      <ddeItem name="1441.TW-DXLOrderOutValueRatio" advise="1">
        <values>
          <value>
            <val>0</val>
          </value>
        </values>
      </ddeItem>
      <ddeItem name="1441.TW-DXLOrderValueDiffRatio" advise="1">
        <values>
          <value>
            <val>0</val>
          </value>
        </values>
      </ddeItem>
      <ddeItem name="1441.TW-ExchangeIndustry" advise="1">
        <values>
          <value t="str">
            <val>上市紡織纖維</val>
          </value>
        </values>
      </ddeItem>
      <ddeItem name="1441.TW-ID" advise="1">
        <values>
          <value t="str">
            <val>1441</val>
          </value>
        </values>
      </ddeItem>
      <ddeItem name="1441.TW-InOutRatioNumber" advise="1">
        <values>
          <value t="str">
            <val>41.30%</val>
          </value>
        </values>
      </ddeItem>
      <ddeItem name="1441.TW-Name" advise="1">
        <values>
          <value t="str">
            <val>大東</val>
          </value>
        </values>
      </ddeItem>
      <ddeItem name="1441.TW-PreTotalVolumeRate" advise="1">
        <values>
          <value>
            <val>0.43</val>
          </value>
        </values>
      </ddeItem>
      <ddeItem name="1441.TW-Price" advise="1">
        <values>
          <value>
            <val>9.33</val>
          </value>
        </values>
      </ddeItem>
      <ddeItem name="1441.TW-PriceChangeRatio" advise="1">
        <values>
          <value>
            <val>-0.96</val>
          </value>
        </values>
      </ddeItem>
      <ddeItem name="1441.TW-Time" advise="1">
        <values>
          <value t="str">
            <val>10:04:13</val>
          </value>
        </values>
      </ddeItem>
      <ddeItem name="1441.TW-VolumeRatio" advise="1">
        <values>
          <value>
            <val>0.68</val>
          </value>
        </values>
      </ddeItem>
      <ddeItem name="1444.TW-5DayAvgVol" advise="1">
        <values>
          <value>
            <val>2774</val>
          </value>
        </values>
      </ddeItem>
      <ddeItem name="1444.TW-AvgPrice" advise="1">
        <values>
          <value>
            <val>10.95</val>
          </value>
        </values>
      </ddeItem>
      <ddeItem name="1444.TW-Capital" advise="1">
        <values>
          <value t="str">
            <val>95.73</val>
          </value>
        </values>
      </ddeItem>
      <ddeItem name="1444.TW-DLOrderValueDiffRatio" advise="1">
        <values>
          <value>
            <val>0.52</val>
          </value>
        </values>
      </ddeItem>
      <ddeItem name="1444.TW-DXLOrderOutValueRatio" advise="1">
        <values>
          <value>
            <val>7.17</val>
          </value>
        </values>
      </ddeItem>
      <ddeItem name="1444.TW-DXLOrderValueDiffRatio" advise="1">
        <values>
          <value>
            <val>7.17</val>
          </value>
        </values>
      </ddeItem>
      <ddeItem name="1444.TW-ExchangeIndustry" advise="1">
        <values>
          <value t="str">
            <val>上市紡織纖維</val>
          </value>
        </values>
      </ddeItem>
      <ddeItem name="1444.TW-ID" advise="1">
        <values>
          <value t="str">
            <val>1444</val>
          </value>
        </values>
      </ddeItem>
      <ddeItem name="1444.TW-InOutRatioNumber" advise="1">
        <values>
          <value t="str">
            <val>47.01%</val>
          </value>
        </values>
      </ddeItem>
      <ddeItem name="1444.TW-Name" advise="1">
        <values>
          <value t="str">
            <val>力麗</val>
          </value>
        </values>
      </ddeItem>
      <ddeItem name="1444.TW-PreTotalVolumeRate" advise="1">
        <values>
          <value>
            <val>0.68</val>
          </value>
        </values>
      </ddeItem>
      <ddeItem name="1444.TW-Price" advise="1">
        <values>
          <value>
            <val>10.95</val>
          </value>
        </values>
      </ddeItem>
      <ddeItem name="1444.TW-PriceChangeRatio" advise="1">
        <values>
          <value>
            <val>0.92</val>
          </value>
        </values>
      </ddeItem>
      <ddeItem name="1444.TW-Time" advise="1">
        <values>
          <value t="str">
            <val>10:14:58</val>
          </value>
        </values>
      </ddeItem>
      <ddeItem name="1444.TW-VolumeRatio" advise="1">
        <values>
          <value>
            <val>1.21</val>
          </value>
        </values>
      </ddeItem>
      <ddeItem name="1445.TW-5DayAvgVol" advise="1">
        <values>
          <value>
            <val>183</val>
          </value>
        </values>
      </ddeItem>
      <ddeItem name="1445.TW-AvgPrice" advise="1">
        <values>
          <value>
            <val>13.18</val>
          </value>
        </values>
      </ddeItem>
      <ddeItem name="1445.TW-Capital" advise="1">
        <values>
          <value t="str">
            <val>13.07</val>
          </value>
        </values>
      </ddeItem>
      <ddeItem name="1445.TW-DLOrderValueDiffRatio" advise="1">
        <values>
          <value>
            <val>0</val>
          </value>
        </values>
      </ddeItem>
      <ddeItem name="1445.TW-DXLOrderOutValueRatio" advise="1">
        <values>
          <value>
            <val>0</val>
          </value>
        </values>
      </ddeItem>
      <ddeItem name="1445.TW-DXLOrderValueDiffRatio" advise="1">
        <values>
          <value>
            <val>0</val>
          </value>
        </values>
      </ddeItem>
      <ddeItem name="1445.TW-ExchangeIndustry" advise="1">
        <values>
          <value t="str">
            <val>上市紡織纖維</val>
          </value>
        </values>
      </ddeItem>
      <ddeItem name="1445.TW-ID" advise="1">
        <values>
          <value t="str">
            <val>1445</val>
          </value>
        </values>
      </ddeItem>
      <ddeItem name="1445.TW-InOutRatioNumber" advise="1">
        <values>
          <value t="str">
            <val>39.13%</val>
          </value>
        </values>
      </ddeItem>
      <ddeItem name="1445.TW-Name" advise="1">
        <values>
          <value t="str">
            <val>大宇</val>
          </value>
        </values>
      </ddeItem>
      <ddeItem name="1445.TW-PreTotalVolumeRate" advise="1">
        <values>
          <value>
            <val>0.1</val>
          </value>
        </values>
      </ddeItem>
      <ddeItem name="1445.TW-Price" advise="1">
        <values>
          <value>
            <val>13.2</val>
          </value>
        </values>
      </ddeItem>
      <ddeItem name="1445.TW-PriceChangeRatio" advise="1">
        <values>
          <value>
            <val>0.38</val>
          </value>
        </values>
      </ddeItem>
      <ddeItem name="1445.TW-Time" advise="1">
        <values>
          <value t="str">
            <val>10:12:01</val>
          </value>
        </values>
      </ddeItem>
      <ddeItem name="1445.TW-VolumeRatio" advise="1">
        <values>
          <value>
            <val>0.53</val>
          </value>
        </values>
      </ddeItem>
      <ddeItem name="1446.TW-5DayAvgVol" advise="1">
        <values>
          <value>
            <val>73</val>
          </value>
        </values>
      </ddeItem>
      <ddeItem name="1446.TW-AvgPrice" advise="1">
        <values>
          <value>
            <val>31.41</val>
          </value>
        </values>
      </ddeItem>
      <ddeItem name="1446.TW-Capital" advise="1">
        <values>
          <value t="str">
            <val>13.77</val>
          </value>
        </values>
      </ddeItem>
      <ddeItem name="1446.TW-DLOrderValueDiffRatio" advise="1">
        <values>
          <value>
            <val>0</val>
          </value>
        </values>
      </ddeItem>
      <ddeItem name="1446.TW-DXLOrderOutValueRatio" advise="1">
        <values>
          <value>
            <val>0</val>
          </value>
        </values>
      </ddeItem>
      <ddeItem name="1446.TW-DXLOrderValueDiffRatio" advise="1">
        <values>
          <value>
            <val>0</val>
          </value>
        </values>
      </ddeItem>
      <ddeItem name="1446.TW-ExchangeIndustry" advise="1">
        <values>
          <value t="str">
            <val>上市紡織纖維</val>
          </value>
        </values>
      </ddeItem>
      <ddeItem name="1446.TW-ID" advise="1">
        <values>
          <value t="str">
            <val>1446</val>
          </value>
        </values>
      </ddeItem>
      <ddeItem name="1446.TW-InOutRatioNumber" advise="1">
        <values>
          <value t="str">
            <val>57.89%</val>
          </value>
        </values>
      </ddeItem>
      <ddeItem name="1446.TW-Name" advise="1">
        <values>
          <value t="str">
            <val>宏和</val>
          </value>
        </values>
      </ddeItem>
      <ddeItem name="1446.TW-PreTotalVolumeRate" advise="1">
        <values>
          <value>
            <val>0.23</val>
          </value>
        </values>
      </ddeItem>
      <ddeItem name="1446.TW-Price" advise="1">
        <values>
          <value>
            <val>31.4</val>
          </value>
        </values>
      </ddeItem>
      <ddeItem name="1446.TW-PriceChangeRatio" advise="1">
        <values>
          <value>
            <val>0</val>
          </value>
        </values>
      </ddeItem>
      <ddeItem name="1446.TW-Time" advise="1">
        <values>
          <value t="str">
            <val>10:14:24</val>
          </value>
        </values>
      </ddeItem>
      <ddeItem name="1446.TW-VolumeRatio" advise="1">
        <values>
          <value>
            <val>0.72</val>
          </value>
        </values>
      </ddeItem>
      <ddeItem name="1447.TW-5DayAvgVol" advise="1">
        <values>
          <value>
            <val>4221</val>
          </value>
        </values>
      </ddeItem>
      <ddeItem name="1447.TW-AvgPrice" advise="1">
        <values>
          <value>
            <val>10</val>
          </value>
        </values>
      </ddeItem>
      <ddeItem name="1447.TW-Capital" advise="1">
        <values>
          <value t="str">
            <val>91.45</val>
          </value>
        </values>
      </ddeItem>
      <ddeItem name="1447.TW-DLOrderValueDiffRatio" advise="1">
        <values>
          <value>
            <val>0</val>
          </value>
        </values>
      </ddeItem>
      <ddeItem name="1447.TW-DXLOrderOutValueRatio" advise="1">
        <values>
          <value>
            <val>8.61</val>
          </value>
        </values>
      </ddeItem>
      <ddeItem name="1447.TW-DXLOrderValueDiffRatio" advise="1">
        <values>
          <value>
            <val>8.61</val>
          </value>
        </values>
      </ddeItem>
      <ddeItem name="1447.TW-ExchangeIndustry" advise="1">
        <values>
          <value t="str">
            <val>上市紡織纖維</val>
          </value>
        </values>
      </ddeItem>
      <ddeItem name="1447.TW-ID" advise="1">
        <values>
          <value t="str">
            <val>1447</val>
          </value>
        </values>
      </ddeItem>
      <ddeItem name="1447.TW-InOutRatioNumber" advise="1">
        <values>
          <value t="str">
            <val>47.12%</val>
          </value>
        </values>
      </ddeItem>
      <ddeItem name="1447.TW-Name" advise="1">
        <values>
          <value t="str">
            <val>力鵬</val>
          </value>
        </values>
      </ddeItem>
      <ddeItem name="1447.TW-PreTotalVolumeRate" advise="1">
        <values>
          <value>
            <val>0.32</val>
          </value>
        </values>
      </ddeItem>
      <ddeItem name="1447.TW-Price" advise="1">
        <values>
          <value>
            <val>10.050000000000001</val>
          </value>
        </values>
      </ddeItem>
      <ddeItem name="1447.TW-PriceChangeRatio" advise="1">
        <values>
          <value>
            <val>1.21</val>
          </value>
        </values>
      </ddeItem>
      <ddeItem name="1447.TW-Time" advise="1">
        <values>
          <value t="str">
            <val>10:14:16</val>
          </value>
        </values>
      </ddeItem>
      <ddeItem name="1447.TW-VolumeRatio" advise="1">
        <values>
          <value>
            <val>0.73</val>
          </value>
        </values>
      </ddeItem>
      <ddeItem name="1449.TW-5DayAvgVol" advise="1">
        <values>
          <value>
            <val>63</val>
          </value>
        </values>
      </ddeItem>
      <ddeItem name="1449.TW-AvgPrice" advise="1">
        <values>
          <value>
            <val>15.5</val>
          </value>
        </values>
      </ddeItem>
      <ddeItem name="1449.TW-Capital" advise="1">
        <values>
          <value t="str">
            <val>8.81</val>
          </value>
        </values>
      </ddeItem>
      <ddeItem name="1449.TW-DLOrderValueDiffRatio" advise="1">
        <values>
          <value>
            <val>0</val>
          </value>
        </values>
      </ddeItem>
      <ddeItem name="1449.TW-DXLOrderOutValueRatio" advise="1">
        <values>
          <value>
            <val>0</val>
          </value>
        </values>
      </ddeItem>
      <ddeItem name="1449.TW-DXLOrderValueDiffRatio" advise="1">
        <values>
          <value>
            <val>0</val>
          </value>
        </values>
      </ddeItem>
      <ddeItem name="1449.TW-ExchangeIndustry" advise="1">
        <values>
          <value t="str">
            <val>上市紡織纖維</val>
          </value>
        </values>
      </ddeItem>
      <ddeItem name="1449.TW-ID" advise="1">
        <values>
          <value t="str">
            <val>1449</val>
          </value>
        </values>
      </ddeItem>
      <ddeItem name="1449.TW-InOutRatioNumber" advise="1">
        <values>
          <value t="str">
            <val>11.54%</val>
          </value>
        </values>
      </ddeItem>
      <ddeItem name="1449.TW-Name" advise="1">
        <values>
          <value t="str">
            <val>佳和</val>
          </value>
        </values>
      </ddeItem>
      <ddeItem name="1449.TW-PreTotalVolumeRate" advise="1">
        <values>
          <value>
            <val>0.53</val>
          </value>
        </values>
      </ddeItem>
      <ddeItem name="1449.TW-Price" advise="1">
        <values>
          <value>
            <val>15.5</val>
          </value>
        </values>
      </ddeItem>
      <ddeItem name="1449.TW-PriceChangeRatio" advise="1">
        <values>
          <value>
            <val>-1.27</val>
          </value>
        </values>
      </ddeItem>
      <ddeItem name="1449.TW-Time" advise="1">
        <values>
          <value t="str">
            <val>10:11:08</val>
          </value>
        </values>
      </ddeItem>
      <ddeItem name="1449.TW-VolumeRatio" advise="1">
        <values>
          <value>
            <val>1.48</val>
          </value>
        </values>
      </ddeItem>
      <ddeItem name="1451.TW-5DayAvgVol" advise="1">
        <values>
          <value>
            <val>171</val>
          </value>
        </values>
      </ddeItem>
      <ddeItem name="1451.TW-AvgPrice" advise="1">
        <values>
          <value>
            <val>20.73</val>
          </value>
        </values>
      </ddeItem>
      <ddeItem name="1451.TW-Capital" advise="1">
        <values>
          <value t="str">
            <val>19.80</val>
          </value>
        </values>
      </ddeItem>
      <ddeItem name="1451.TW-DLOrderValueDiffRatio" advise="1">
        <values>
          <value>
            <val>0</val>
          </value>
        </values>
      </ddeItem>
      <ddeItem name="1451.TW-DXLOrderOutValueRatio" advise="1">
        <values>
          <value>
            <val>0</val>
          </value>
        </values>
      </ddeItem>
      <ddeItem name="1451.TW-DXLOrderValueDiffRatio" advise="1">
        <values>
          <value>
            <val>0</val>
          </value>
        </values>
      </ddeItem>
      <ddeItem name="1451.TW-ExchangeIndustry" advise="1">
        <values>
          <value t="str">
            <val>上市紡織纖維</val>
          </value>
        </values>
      </ddeItem>
      <ddeItem name="1451.TW-ID" advise="1">
        <values>
          <value t="str">
            <val>1451</val>
          </value>
        </values>
      </ddeItem>
      <ddeItem name="1451.TW-InOutRatioNumber" advise="1">
        <values>
          <value t="str">
            <val>38.10%</val>
          </value>
        </values>
      </ddeItem>
      <ddeItem name="1451.TW-Name" advise="1">
        <values>
          <value t="str">
            <val>年興</val>
          </value>
        </values>
      </ddeItem>
      <ddeItem name="1451.TW-PreTotalVolumeRate" advise="1">
        <values>
          <value>
            <val>0.21</val>
          </value>
        </values>
      </ddeItem>
      <ddeItem name="1451.TW-Price" advise="1">
        <values>
          <value>
            <val>20.75</val>
          </value>
        </values>
      </ddeItem>
      <ddeItem name="1451.TW-PriceChangeRatio" advise="1">
        <values>
          <value>
            <val>0.48</val>
          </value>
        </values>
      </ddeItem>
      <ddeItem name="1451.TW-Time" advise="1">
        <values>
          <value t="str">
            <val>10:14:41</val>
          </value>
        </values>
      </ddeItem>
      <ddeItem name="1451.TW-VolumeRatio" advise="1">
        <values>
          <value>
            <val>0.5</val>
          </value>
        </values>
      </ddeItem>
      <ddeItem name="1452.TW-5DayAvgVol" advise="1">
        <values>
          <value>
            <val>569</val>
          </value>
        </values>
      </ddeItem>
      <ddeItem name="1452.TW-AvgPrice" advise="1">
        <values>
          <value>
            <val>23.56</val>
          </value>
        </values>
      </ddeItem>
      <ddeItem name="1452.TW-Capital" advise="1">
        <values>
          <value t="str">
            <val>13.26</val>
          </value>
        </values>
      </ddeItem>
      <ddeItem name="1452.TW-DLOrderValueDiffRatio" advise="1">
        <values>
          <value>
            <val>0</val>
          </value>
        </values>
      </ddeItem>
      <ddeItem name="1452.TW-DXLOrderOutValueRatio" advise="1">
        <values>
          <value>
            <val>0</val>
          </value>
        </values>
      </ddeItem>
      <ddeItem name="1452.TW-DXLOrderValueDiffRatio" advise="1">
        <values>
          <value>
            <val>0</val>
          </value>
        </values>
      </ddeItem>
      <ddeItem name="1452.TW-ExchangeIndustry" advise="1">
        <values>
          <value t="str">
            <val>上市紡織纖維</val>
          </value>
        </values>
      </ddeItem>
      <ddeItem name="1452.TW-ID" advise="1">
        <values>
          <value t="str">
            <val>1452</val>
          </value>
        </values>
      </ddeItem>
      <ddeItem name="1452.TW-InOutRatioNumber" advise="1">
        <values>
          <value t="str">
            <val>52.03%</val>
          </value>
        </values>
      </ddeItem>
      <ddeItem name="1452.TW-Name" advise="1">
        <values>
          <value t="str">
            <val>宏益</val>
          </value>
        </values>
      </ddeItem>
      <ddeItem name="1452.TW-PreTotalVolumeRate" advise="1">
        <values>
          <value>
            <val>0.61</val>
          </value>
        </values>
      </ddeItem>
      <ddeItem name="1452.TW-Price" advise="1">
        <values>
          <value>
            <val>23.6</val>
          </value>
        </values>
      </ddeItem>
      <ddeItem name="1452.TW-PriceChangeRatio" advise="1">
        <values>
          <value>
            <val>0.85</val>
          </value>
        </values>
      </ddeItem>
      <ddeItem name="1452.TW-Time" advise="1">
        <values>
          <value t="str">
            <val>10:13:41</val>
          </value>
        </values>
      </ddeItem>
      <ddeItem name="1452.TW-VolumeRatio" advise="1">
        <values>
          <value>
            <val>1.3</val>
          </value>
        </values>
      </ddeItem>
      <ddeItem name="1454.TW-5DayAvgVol" advise="1">
        <values>
          <value>
            <val>73</val>
          </value>
        </values>
      </ddeItem>
      <ddeItem name="1454.TW-AvgPrice" advise="1">
        <values>
          <value t="str">
            <val>--</val>
          </value>
        </values>
      </ddeItem>
      <ddeItem name="1454.TW-Capital" advise="1">
        <values>
          <value t="str">
            <val>12.98</val>
          </value>
        </values>
      </ddeItem>
      <ddeItem name="1454.TW-DLOrderValueDiffRatio" advise="1">
        <values>
          <value>
            <val>0</val>
          </value>
        </values>
      </ddeItem>
      <ddeItem name="1454.TW-DXLOrderOutValueRatio" advise="1">
        <values>
          <value>
            <val>0</val>
          </value>
        </values>
      </ddeItem>
      <ddeItem name="1454.TW-DXLOrderValueDiffRatio" advise="1">
        <values>
          <value>
            <val>0</val>
          </value>
        </values>
      </ddeItem>
      <ddeItem name="1454.TW-ExchangeIndustry" advise="1">
        <values>
          <value t="str">
            <val>上市紡織纖維</val>
          </value>
        </values>
      </ddeItem>
      <ddeItem name="1454.TW-ID" advise="1">
        <values>
          <value t="str">
            <val>1454</val>
          </value>
        </values>
      </ddeItem>
      <ddeItem name="1454.TW-InOutRatioNumber" advise="1">
        <values>
          <value t="str">
            <val>--</val>
          </value>
        </values>
      </ddeItem>
      <ddeItem name="1454.TW-Name" advise="1">
        <values>
          <value t="str">
            <val>台富</val>
          </value>
        </values>
      </ddeItem>
      <ddeItem name="1454.TW-PreTotalVolumeRate" advise="1">
        <values>
          <value>
            <val>0</val>
          </value>
        </values>
      </ddeItem>
      <ddeItem name="1454.TW-Price" advise="1">
        <values>
          <value t="str">
            <val>--</val>
          </value>
        </values>
      </ddeItem>
      <ddeItem name="1454.TW-PriceChangeRatio" advise="1">
        <values>
          <value t="str">
            <val>--</val>
          </value>
        </values>
      </ddeItem>
      <ddeItem name="1454.TW-Time" advise="1">
        <values>
          <value t="str">
            <val>--</val>
          </value>
        </values>
      </ddeItem>
      <ddeItem name="1454.TW-VolumeRatio" advise="1">
        <values>
          <value>
            <val>0</val>
          </value>
        </values>
      </ddeItem>
      <ddeItem name="1455.TW-5DayAvgVol" advise="1">
        <values>
          <value>
            <val>6298</val>
          </value>
        </values>
      </ddeItem>
      <ddeItem name="1455.TW-AvgPrice" advise="1">
        <values>
          <value>
            <val>17.07</val>
          </value>
        </values>
      </ddeItem>
      <ddeItem name="1455.TW-Capital" advise="1">
        <values>
          <value t="str">
            <val>53.17</val>
          </value>
        </values>
      </ddeItem>
      <ddeItem name="1455.TW-DLOrderValueDiffRatio" advise="1">
        <values>
          <value>
            <val>8.94</val>
          </value>
        </values>
      </ddeItem>
      <ddeItem name="1455.TW-DXLOrderOutValueRatio" advise="1">
        <values>
          <value>
            <val>6.11</val>
          </value>
        </values>
      </ddeItem>
      <ddeItem name="1455.TW-DXLOrderValueDiffRatio" advise="1">
        <values>
          <value>
            <val>-7.36</val>
          </value>
        </values>
      </ddeItem>
      <ddeItem name="1455.TW-ExchangeIndustry" advise="1">
        <values>
          <value t="str">
            <val>上市紡織纖維</val>
          </value>
        </values>
      </ddeItem>
      <ddeItem name="1455.TW-ID" advise="1">
        <values>
          <value t="str">
            <val>1455</val>
          </value>
        </values>
      </ddeItem>
      <ddeItem name="1455.TW-InOutRatioNumber" advise="1">
        <values>
          <value t="str">
            <val>50.89%</val>
          </value>
        </values>
      </ddeItem>
      <ddeItem name="1455.TW-Name" advise="1">
        <values>
          <value t="str">
            <val>集盛</val>
          </value>
        </values>
      </ddeItem>
      <ddeItem name="1455.TW-PreTotalVolumeRate" advise="1">
        <values>
          <value>
            <val>0.71</val>
          </value>
        </values>
      </ddeItem>
      <ddeItem name="1455.TW-Price" advise="1">
        <values>
          <value>
            <val>17.2</val>
          </value>
        </values>
      </ddeItem>
      <ddeItem name="1455.TW-PriceChangeRatio" advise="1">
        <values>
          <value>
            <val>1.47</val>
          </value>
        </values>
      </ddeItem>
      <ddeItem name="1455.TW-Time" advise="1">
        <values>
          <value t="str">
            <val>10:15:19</val>
          </value>
        </values>
      </ddeItem>
      <ddeItem name="1455.TW-VolumeRatio" advise="1">
        <values>
          <value>
            <val>1.46</val>
          </value>
        </values>
      </ddeItem>
      <ddeItem name="1457.TW-5DayAvgVol" advise="1">
        <values>
          <value>
            <val>462</val>
          </value>
        </values>
      </ddeItem>
      <ddeItem name="1457.TW-AvgPrice" advise="1">
        <values>
          <value>
            <val>17.059999999999999</val>
          </value>
        </values>
      </ddeItem>
      <ddeItem name="1457.TW-Capital" advise="1">
        <values>
          <value t="str">
            <val>30.16</val>
          </value>
        </values>
      </ddeItem>
      <ddeItem name="1457.TW-DLOrderValueDiffRatio" advise="1">
        <values>
          <value>
            <val>0</val>
          </value>
        </values>
      </ddeItem>
      <ddeItem name="1457.TW-DXLOrderOutValueRatio" advise="1">
        <values>
          <value>
            <val>0</val>
          </value>
        </values>
      </ddeItem>
      <ddeItem name="1457.TW-DXLOrderValueDiffRatio" advise="1">
        <values>
          <value>
            <val>0</val>
          </value>
        </values>
      </ddeItem>
      <ddeItem name="1457.TW-ExchangeIndustry" advise="1">
        <values>
          <value t="str">
            <val>上市紡織纖維</val>
          </value>
        </values>
      </ddeItem>
      <ddeItem name="1457.TW-ID" advise="1">
        <values>
          <value t="str">
            <val>1457</val>
          </value>
        </values>
      </ddeItem>
      <ddeItem name="1457.TW-InOutRatioNumber" advise="1">
        <values>
          <value t="str">
            <val>80.25%</val>
          </value>
        </values>
      </ddeItem>
      <ddeItem name="1457.TW-Name" advise="1">
        <values>
          <value t="str">
            <val>宜進</val>
          </value>
        </values>
      </ddeItem>
      <ddeItem name="1457.TW-PreTotalVolumeRate" advise="1">
        <values>
          <value>
            <val>0.19</val>
          </value>
        </values>
      </ddeItem>
      <ddeItem name="1457.TW-Price" advise="1">
        <values>
          <value>
            <val>17.149999999999999</val>
          </value>
        </values>
      </ddeItem>
      <ddeItem name="1457.TW-PriceChangeRatio" advise="1">
        <values>
          <value>
            <val>0.88</val>
          </value>
        </values>
      </ddeItem>
      <ddeItem name="1457.TW-Time" advise="1">
        <values>
          <value t="str">
            <val>10:12:04</val>
          </value>
        </values>
      </ddeItem>
      <ddeItem name="1457.TW-VolumeRatio" advise="1">
        <values>
          <value>
            <val>0.42</val>
          </value>
        </values>
      </ddeItem>
      <ddeItem name="1459.TW-5DayAvgVol" advise="1">
        <values>
          <value>
            <val>312</val>
          </value>
        </values>
      </ddeItem>
      <ddeItem name="1459.TW-AvgPrice" advise="1">
        <values>
          <value>
            <val>11.99</val>
          </value>
        </values>
      </ddeItem>
      <ddeItem name="1459.TW-Capital" advise="1">
        <values>
          <value t="str">
            <val>35.86</val>
          </value>
        </values>
      </ddeItem>
      <ddeItem name="1459.TW-DLOrderValueDiffRatio" advise="1">
        <values>
          <value>
            <val>-67.11</val>
          </value>
        </values>
      </ddeItem>
      <ddeItem name="1459.TW-DXLOrderOutValueRatio" advise="1">
        <values>
          <value>
            <val>0</val>
          </value>
        </values>
      </ddeItem>
      <ddeItem name="1459.TW-DXLOrderValueDiffRatio" advise="1">
        <values>
          <value>
            <val>0</val>
          </value>
        </values>
      </ddeItem>
      <ddeItem name="1459.TW-ExchangeIndustry" advise="1">
        <values>
          <value t="str">
            <val>上市紡織纖維</val>
          </value>
        </values>
      </ddeItem>
      <ddeItem name="1459.TW-ID" advise="1">
        <values>
          <value t="str">
            <val>1459</val>
          </value>
        </values>
      </ddeItem>
      <ddeItem name="1459.TW-InOutRatioNumber" advise="1">
        <values>
          <value t="str">
            <val>25.88%</val>
          </value>
        </values>
      </ddeItem>
      <ddeItem name="1459.TW-Name" advise="1">
        <values>
          <value t="str">
            <val>聯發</val>
          </value>
        </values>
      </ddeItem>
      <ddeItem name="1459.TW-PreTotalVolumeRate" advise="1">
        <values>
          <value>
            <val>0.3</val>
          </value>
        </values>
      </ddeItem>
      <ddeItem name="1459.TW-Price" advise="1">
        <values>
          <value>
            <val>11.95</val>
          </value>
        </values>
      </ddeItem>
      <ddeItem name="1459.TW-PriceChangeRatio" advise="1">
        <values>
          <value>
            <val>1.7</val>
          </value>
        </values>
      </ddeItem>
      <ddeItem name="1459.TW-Time" advise="1">
        <values>
          <value t="str">
            <val>10:10:04</val>
          </value>
        </values>
      </ddeItem>
      <ddeItem name="1459.TW-VolumeRatio" advise="1">
        <values>
          <value>
            <val>0.61</val>
          </value>
        </values>
      </ddeItem>
      <ddeItem name="1460.TW-5DayAvgVol" advise="1">
        <values>
          <value>
            <val>1772</val>
          </value>
        </values>
      </ddeItem>
      <ddeItem name="1460.TW-AvgPrice" advise="1">
        <values>
          <value>
            <val>9.7899999999999991</val>
          </value>
        </values>
      </ddeItem>
      <ddeItem name="1460.TW-Capital" advise="1">
        <values>
          <value t="str">
            <val>69.46</val>
          </value>
        </values>
      </ddeItem>
      <ddeItem name="1460.TW-DLOrderValueDiffRatio" advise="1">
        <values>
          <value>
            <val>11.52</val>
          </value>
        </values>
      </ddeItem>
      <ddeItem name="1460.TW-DXLOrderOutValueRatio" advise="1">
        <values>
          <value>
            <val>4.3899999999999997</val>
          </value>
        </values>
      </ddeItem>
      <ddeItem name="1460.TW-DXLOrderValueDiffRatio" advise="1">
        <values>
          <value>
            <val>-0.83</val>
          </value>
        </values>
      </ddeItem>
      <ddeItem name="1460.TW-ExchangeIndustry" advise="1">
        <values>
          <value t="str">
            <val>上市紡織纖維</val>
          </value>
        </values>
      </ddeItem>
      <ddeItem name="1460.TW-ID" advise="1">
        <values>
          <value t="str">
            <val>1460</val>
          </value>
        </values>
      </ddeItem>
      <ddeItem name="1460.TW-InOutRatioNumber" advise="1">
        <values>
          <value t="str">
            <val>77.24%</val>
          </value>
        </values>
      </ddeItem>
      <ddeItem name="1460.TW-Name" advise="1">
        <values>
          <value t="str">
            <val>宏遠</val>
          </value>
        </values>
      </ddeItem>
      <ddeItem name="1460.TW-PreTotalVolumeRate" advise="1">
        <values>
          <value>
            <val>1.31</val>
          </value>
        </values>
      </ddeItem>
      <ddeItem name="1460.TW-Price" advise="1">
        <values>
          <value>
            <val>9.92</val>
          </value>
        </values>
      </ddeItem>
      <ddeItem name="1460.TW-PriceChangeRatio" advise="1">
        <values>
          <value>
            <val>4.2</val>
          </value>
        </values>
      </ddeItem>
      <ddeItem name="1460.TW-Time" advise="1">
        <values>
          <value t="str">
            <val>10:15:08</val>
          </value>
        </values>
      </ddeItem>
      <ddeItem name="1460.TW-VolumeRatio" advise="1">
        <values>
          <value>
            <val>2.85</val>
          </value>
        </values>
      </ddeItem>
      <ddeItem name="1463.TW-5DayAvgVol" advise="1">
        <values>
          <value>
            <val>140</val>
          </value>
        </values>
      </ddeItem>
      <ddeItem name="1463.TW-AvgPrice" advise="1">
        <values>
          <value>
            <val>14.1</val>
          </value>
        </values>
      </ddeItem>
      <ddeItem name="1463.TW-Capital" advise="1">
        <values>
          <value t="str">
            <val>17.33</val>
          </value>
        </values>
      </ddeItem>
      <ddeItem name="1463.TW-DLOrderValueDiffRatio" advise="1">
        <values>
          <value>
            <val>0</val>
          </value>
        </values>
      </ddeItem>
      <ddeItem name="1463.TW-DXLOrderOutValueRatio" advise="1">
        <values>
          <value>
            <val>0</val>
          </value>
        </values>
      </ddeItem>
      <ddeItem name="1463.TW-DXLOrderValueDiffRatio" advise="1">
        <values>
          <value>
            <val>0</val>
          </value>
        </values>
      </ddeItem>
      <ddeItem name="1463.TW-ExchangeIndustry" advise="1">
        <values>
          <value t="str">
            <val>上市紡織纖維</val>
          </value>
        </values>
      </ddeItem>
      <ddeItem name="1463.TW-ID" advise="1">
        <values>
          <value t="str">
            <val>1463</val>
          </value>
        </values>
      </ddeItem>
      <ddeItem name="1463.TW-InOutRatioNumber" advise="1">
        <values>
          <value t="str">
            <val>57.14%</val>
          </value>
        </values>
      </ddeItem>
      <ddeItem name="1463.TW-Name" advise="1">
        <values>
          <value t="str">
            <val>強盛</val>
          </value>
        </values>
      </ddeItem>
      <ddeItem name="1463.TW-PreTotalVolumeRate" advise="1">
        <values>
          <value>
            <val>0.09</val>
          </value>
        </values>
      </ddeItem>
      <ddeItem name="1463.TW-Price" advise="1">
        <values>
          <value>
            <val>14.2</val>
          </value>
        </values>
      </ddeItem>
      <ddeItem name="1463.TW-PriceChangeRatio" advise="1">
        <values>
          <value>
            <val>1.43</val>
          </value>
        </values>
      </ddeItem>
      <ddeItem name="1463.TW-Time" advise="1">
        <values>
          <value t="str">
            <val>10:10:50</val>
          </value>
        </values>
      </ddeItem>
      <ddeItem name="1463.TW-VolumeRatio" advise="1">
        <values>
          <value>
            <val>0.18</val>
          </value>
        </values>
      </ddeItem>
      <ddeItem name="1464.TW-5DayAvgVol" advise="1">
        <values>
          <value>
            <val>557</val>
          </value>
        </values>
      </ddeItem>
      <ddeItem name="1464.TW-AvgPrice" advise="1">
        <values>
          <value>
            <val>15.16</val>
          </value>
        </values>
      </ddeItem>
      <ddeItem name="1464.TW-Capital" advise="1">
        <values>
          <value t="str">
            <val>38.46</val>
          </value>
        </values>
      </ddeItem>
      <ddeItem name="1464.TW-DLOrderValueDiffRatio" advise="1">
        <values>
          <value>
            <val>0</val>
          </value>
        </values>
      </ddeItem>
      <ddeItem name="1464.TW-DXLOrderOutValueRatio" advise="1">
        <values>
          <value>
            <val>0</val>
          </value>
        </values>
      </ddeItem>
      <ddeItem name="1464.TW-DXLOrderValueDiffRatio" advise="1">
        <values>
          <value>
            <val>0</val>
          </value>
        </values>
      </ddeItem>
      <ddeItem name="1464.TW-ExchangeIndustry" advise="1">
        <values>
          <value t="str">
            <val>上市紡織纖維</val>
          </value>
        </values>
      </ddeItem>
      <ddeItem name="1464.TW-ID" advise="1">
        <values>
          <value t="str">
            <val>1464</val>
          </value>
        </values>
      </ddeItem>
      <ddeItem name="1464.TW-InOutRatioNumber" advise="1">
        <values>
          <value t="str">
            <val>30.00%</val>
          </value>
        </values>
      </ddeItem>
      <ddeItem name="1464.TW-Name" advise="1">
        <values>
          <value t="str">
            <val>得力</val>
          </value>
        </values>
      </ddeItem>
      <ddeItem name="1464.TW-PreTotalVolumeRate" advise="1">
        <values>
          <value>
            <val>0.38</val>
          </value>
        </values>
      </ddeItem>
      <ddeItem name="1464.TW-Price" advise="1">
        <values>
          <value>
            <val>15.15</val>
          </value>
        </values>
      </ddeItem>
      <ddeItem name="1464.TW-PriceChangeRatio" advise="1">
        <values>
          <value>
            <val>-0.33</val>
          </value>
        </values>
      </ddeItem>
      <ddeItem name="1464.TW-Time" advise="1">
        <values>
          <value t="str">
            <val>10:13:55</val>
          </value>
        </values>
      </ddeItem>
      <ddeItem name="1464.TW-VolumeRatio" advise="1">
        <values>
          <value>
            <val>0.97</val>
          </value>
        </values>
      </ddeItem>
      <ddeItem name="1465.TW-5DayAvgVol" advise="1">
        <values>
          <value>
            <val>52</val>
          </value>
        </values>
      </ddeItem>
      <ddeItem name="1465.TW-AvgPrice" advise="1">
        <values>
          <value>
            <val>12.95</val>
          </value>
        </values>
      </ddeItem>
      <ddeItem name="1465.TW-Capital" advise="1">
        <values>
          <value t="str">
            <val>10.36</val>
          </value>
        </values>
      </ddeItem>
      <ddeItem name="1465.TW-DLOrderValueDiffRatio" advise="1">
        <values>
          <value>
            <val>0</val>
          </value>
        </values>
      </ddeItem>
      <ddeItem name="1465.TW-DXLOrderOutValueRatio" advise="1">
        <values>
          <value>
            <val>0</val>
          </value>
        </values>
      </ddeItem>
      <ddeItem name="1465.TW-DXLOrderValueDiffRatio" advise="1">
        <values>
          <value>
            <val>0</val>
          </value>
        </values>
      </ddeItem>
      <ddeItem name="1465.TW-ExchangeIndustry" advise="1">
        <values>
          <value t="str">
            <val>上市紡織纖維</val>
          </value>
        </values>
      </ddeItem>
      <ddeItem name="1465.TW-ID" advise="1">
        <values>
          <value t="str">
            <val>1465</val>
          </value>
        </values>
      </ddeItem>
      <ddeItem name="1465.TW-InOutRatioNumber" advise="1">
        <values>
          <value t="str">
            <val>100.00%</val>
          </value>
        </values>
      </ddeItem>
      <ddeItem name="1465.TW-Name" advise="1">
        <values>
          <value t="str">
            <val>偉全</val>
          </value>
        </values>
      </ddeItem>
      <ddeItem name="1465.TW-PreTotalVolumeRate" advise="1">
        <values>
          <value>
            <val>0.08</val>
          </value>
        </values>
      </ddeItem>
      <ddeItem name="1465.TW-Price" advise="1">
        <values>
          <value>
            <val>12.95</val>
          </value>
        </values>
      </ddeItem>
      <ddeItem name="1465.TW-PriceChangeRatio" advise="1">
        <values>
          <value>
            <val>1.57</val>
          </value>
        </values>
      </ddeItem>
      <ddeItem name="1465.TW-Time" advise="1">
        <values>
          <value t="str">
            <val>09:42:54</val>
          </value>
        </values>
      </ddeItem>
      <ddeItem name="1465.TW-VolumeRatio" advise="1">
        <values>
          <value>
            <val>0</val>
          </value>
        </values>
      </ddeItem>
      <ddeItem name="1466.TW-5DayAvgVol" advise="1">
        <values>
          <value>
            <val>361</val>
          </value>
        </values>
      </ddeItem>
      <ddeItem name="1466.TW-AvgPrice" advise="1">
        <values>
          <value>
            <val>15.42</val>
          </value>
        </values>
      </ddeItem>
      <ddeItem name="1466.TW-Capital" advise="1">
        <values>
          <value t="str">
            <val>11.12</val>
          </value>
        </values>
      </ddeItem>
      <ddeItem name="1466.TW-DLOrderValueDiffRatio" advise="1">
        <values>
          <value>
            <val>0</val>
          </value>
        </values>
      </ddeItem>
      <ddeItem name="1466.TW-DXLOrderOutValueRatio" advise="1">
        <values>
          <value>
            <val>0</val>
          </value>
        </values>
      </ddeItem>
      <ddeItem name="1466.TW-DXLOrderValueDiffRatio" advise="1">
        <values>
          <value>
            <val>0</val>
          </value>
        </values>
      </ddeItem>
      <ddeItem name="1466.TW-ExchangeIndustry" advise="1">
        <values>
          <value t="str">
            <val>上市紡織纖維</val>
          </value>
        </values>
      </ddeItem>
      <ddeItem name="1466.TW-ID" advise="1">
        <values>
          <value t="str">
            <val>1466</val>
          </value>
        </values>
      </ddeItem>
      <ddeItem name="1466.TW-InOutRatioNumber" advise="1">
        <values>
          <value t="str">
            <val>57.58%</val>
          </value>
        </values>
      </ddeItem>
      <ddeItem name="1466.TW-Name" advise="1">
        <values>
          <value t="str">
            <val>聚隆</val>
          </value>
        </values>
      </ddeItem>
      <ddeItem name="1466.TW-PreTotalVolumeRate" advise="1">
        <values>
          <value>
            <val>0.46</val>
          </value>
        </values>
      </ddeItem>
      <ddeItem name="1466.TW-Price" advise="1">
        <values>
          <value>
            <val>15.35</val>
          </value>
        </values>
      </ddeItem>
      <ddeItem name="1466.TW-PriceChangeRatio" advise="1">
        <values>
          <value>
            <val>0.66</val>
          </value>
        </values>
      </ddeItem>
      <ddeItem name="1466.TW-Time" advise="1">
        <values>
          <value t="str">
            <val>09:55:17</val>
          </value>
        </values>
      </ddeItem>
      <ddeItem name="1466.TW-VolumeRatio" advise="1">
        <values>
          <value>
            <val>1.67</val>
          </value>
        </values>
      </ddeItem>
      <ddeItem name="1467.TW-5DayAvgVol" advise="1">
        <values>
          <value>
            <val>1214</val>
          </value>
        </values>
      </ddeItem>
      <ddeItem name="1467.TW-AvgPrice" advise="1">
        <values>
          <value>
            <val>14.16</val>
          </value>
        </values>
      </ddeItem>
      <ddeItem name="1467.TW-Capital" advise="1">
        <values>
          <value t="str">
            <val>23.36</val>
          </value>
        </values>
      </ddeItem>
      <ddeItem name="1467.TW-DLOrderValueDiffRatio" advise="1">
        <values>
          <value>
            <val>0</val>
          </value>
        </values>
      </ddeItem>
      <ddeItem name="1467.TW-DXLOrderOutValueRatio" advise="1">
        <values>
          <value>
            <val>0</val>
          </value>
        </values>
      </ddeItem>
      <ddeItem name="1467.TW-DXLOrderValueDiffRatio" advise="1">
        <values>
          <value>
            <val>0</val>
          </value>
        </values>
      </ddeItem>
      <ddeItem name="1467.TW-ExchangeIndustry" advise="1">
        <values>
          <value t="str">
            <val>上市紡織纖維</val>
          </value>
        </values>
      </ddeItem>
      <ddeItem name="1467.TW-ID" advise="1">
        <values>
          <value t="str">
            <val>1467</val>
          </value>
        </values>
      </ddeItem>
      <ddeItem name="1467.TW-InOutRatioNumber" advise="1">
        <values>
          <value t="str">
            <val>34.04%</val>
          </value>
        </values>
      </ddeItem>
      <ddeItem name="1467.TW-Name" advise="1">
        <values>
          <value t="str">
            <val>南緯</val>
          </value>
        </values>
      </ddeItem>
      <ddeItem name="1467.TW-PreTotalVolumeRate" advise="1">
        <values>
          <value>
            <val>0.05</val>
          </value>
        </values>
      </ddeItem>
      <ddeItem name="1467.TW-Price" advise="1">
        <values>
          <value>
            <val>14.2</val>
          </value>
        </values>
      </ddeItem>
      <ddeItem name="1467.TW-PriceChangeRatio" advise="1">
        <values>
          <value>
            <val>0.71</val>
          </value>
        </values>
      </ddeItem>
      <ddeItem name="1467.TW-Time" advise="1">
        <values>
          <value t="str">
            <val>10:11:52</val>
          </value>
        </values>
      </ddeItem>
      <ddeItem name="1467.TW-VolumeRatio" advise="1">
        <values>
          <value>
            <val>0.12</val>
          </value>
        </values>
      </ddeItem>
      <ddeItem name="1468.TW-5DayAvgVol" advise="1">
        <values>
          <value>
            <val>119</val>
          </value>
        </values>
      </ddeItem>
      <ddeItem name="1468.TW-AvgPrice" advise="1">
        <values>
          <value>
            <val>12.88</val>
          </value>
        </values>
      </ddeItem>
      <ddeItem name="1468.TW-Capital" advise="1">
        <values>
          <value t="str">
            <val>16.04</val>
          </value>
        </values>
      </ddeItem>
      <ddeItem name="1468.TW-DLOrderValueDiffRatio" advise="1">
        <values>
          <value>
            <val>0</val>
          </value>
        </values>
      </ddeItem>
      <ddeItem name="1468.TW-DXLOrderOutValueRatio" advise="1">
        <values>
          <value>
            <val>0</val>
          </value>
        </values>
      </ddeItem>
      <ddeItem name="1468.TW-DXLOrderValueDiffRatio" advise="1">
        <values>
          <value>
            <val>0</val>
          </value>
        </values>
      </ddeItem>
      <ddeItem name="1468.TW-ExchangeIndustry" advise="1">
        <values>
          <value t="str">
            <val>上市紡織纖維</val>
          </value>
        </values>
      </ddeItem>
      <ddeItem name="1468.TW-ID" advise="1">
        <values>
          <value t="str">
            <val>1468</val>
          </value>
        </values>
      </ddeItem>
      <ddeItem name="1468.TW-InOutRatioNumber" advise="1">
        <values>
          <value t="str">
            <val>71.43%</val>
          </value>
        </values>
      </ddeItem>
      <ddeItem name="1468.TW-Name" advise="1">
        <values>
          <value t="str">
            <val>昶和</val>
          </value>
        </values>
      </ddeItem>
      <ddeItem name="1468.TW-PreTotalVolumeRate" advise="1">
        <values>
          <value>
            <val>0.47</val>
          </value>
        </values>
      </ddeItem>
      <ddeItem name="1468.TW-Price" advise="1">
        <values>
          <value>
            <val>12.95</val>
          </value>
        </values>
      </ddeItem>
      <ddeItem name="1468.TW-PriceChangeRatio" advise="1">
        <values>
          <value>
            <val>0</val>
          </value>
        </values>
      </ddeItem>
      <ddeItem name="1468.TW-Time" advise="1">
        <values>
          <value t="str">
            <val>10:14:49</val>
          </value>
        </values>
      </ddeItem>
      <ddeItem name="1468.TW-VolumeRatio" advise="1">
        <values>
          <value>
            <val>0.88</val>
          </value>
        </values>
      </ddeItem>
      <ddeItem name="1470.TW-5DayAvgVol" advise="1">
        <values>
          <value>
            <val>55</val>
          </value>
        </values>
      </ddeItem>
      <ddeItem name="1470.TW-AvgPrice" advise="1">
        <values>
          <value>
            <val>18.02</val>
          </value>
        </values>
      </ddeItem>
      <ddeItem name="1470.TW-Capital" advise="1">
        <values>
          <value t="str">
            <val>8.58</val>
          </value>
        </values>
      </ddeItem>
      <ddeItem name="1470.TW-DLOrderValueDiffRatio" advise="1">
        <values>
          <value>
            <val>0</val>
          </value>
        </values>
      </ddeItem>
      <ddeItem name="1470.TW-DXLOrderOutValueRatio" advise="1">
        <values>
          <value>
            <val>0</val>
          </value>
        </values>
      </ddeItem>
      <ddeItem name="1470.TW-DXLOrderValueDiffRatio" advise="1">
        <values>
          <value>
            <val>0</val>
          </value>
        </values>
      </ddeItem>
      <ddeItem name="1470.TW-ExchangeIndustry" advise="1">
        <values>
          <value t="str">
            <val>上市紡織纖維</val>
          </value>
        </values>
      </ddeItem>
      <ddeItem name="1470.TW-ID" advise="1">
        <values>
          <value t="str">
            <val>1470</val>
          </value>
        </values>
      </ddeItem>
      <ddeItem name="1470.TW-InOutRatioNumber" advise="1">
        <values>
          <value t="str">
            <val>28.57%</val>
          </value>
        </values>
      </ddeItem>
      <ddeItem name="1470.TW-Name" advise="1">
        <values>
          <value t="str">
            <val>大統新創</val>
          </value>
        </values>
      </ddeItem>
      <ddeItem name="1470.TW-PreTotalVolumeRate" advise="1">
        <values>
          <value>
            <val>3.33</val>
          </value>
        </values>
      </ddeItem>
      <ddeItem name="1470.TW-Price" advise="1">
        <values>
          <value>
            <val>18.2</val>
          </value>
        </values>
      </ddeItem>
      <ddeItem name="1470.TW-PriceChangeRatio" advise="1">
        <values>
          <value>
            <val>0.55000000000000004</val>
          </value>
        </values>
      </ddeItem>
      <ddeItem name="1470.TW-Time" advise="1">
        <values>
          <value t="str">
            <val>09:06:29</val>
          </value>
        </values>
      </ddeItem>
      <ddeItem name="1470.TW-VolumeRatio" advise="1">
        <values>
          <value>
            <val>25.56</val>
          </value>
        </values>
      </ddeItem>
      <ddeItem name="1473.TW-5DayAvgVol" advise="1">
        <values>
          <value>
            <val>62</val>
          </value>
        </values>
      </ddeItem>
      <ddeItem name="1473.TW-AvgPrice" advise="1">
        <values>
          <value>
            <val>18.29</val>
          </value>
        </values>
      </ddeItem>
      <ddeItem name="1473.TW-Capital" advise="1">
        <values>
          <value t="str">
            <val>14.72</val>
          </value>
        </values>
      </ddeItem>
      <ddeItem name="1473.TW-DLOrderValueDiffRatio" advise="1">
        <values>
          <value>
            <val>12.56</val>
          </value>
        </values>
      </ddeItem>
      <ddeItem name="1473.TW-DXLOrderOutValueRatio" advise="1">
        <values>
          <value>
            <val>0</val>
          </value>
        </values>
      </ddeItem>
      <ddeItem name="1473.TW-DXLOrderValueDiffRatio" advise="1">
        <values>
          <value>
            <val>0</val>
          </value>
        </values>
      </ddeItem>
      <ddeItem name="1473.TW-ExchangeIndustry" advise="1">
        <values>
          <value t="str">
            <val>上市紡織纖維</val>
          </value>
        </values>
      </ddeItem>
      <ddeItem name="1473.TW-ID" advise="1">
        <values>
          <value t="str">
            <val>1473</val>
          </value>
        </values>
      </ddeItem>
      <ddeItem name="1473.TW-InOutRatioNumber" advise="1">
        <values>
          <value t="str">
            <val>53.36%</val>
          </value>
        </values>
      </ddeItem>
      <ddeItem name="1473.TW-Name" advise="1">
        <values>
          <value t="str">
            <val>台南</val>
          </value>
        </values>
      </ddeItem>
      <ddeItem name="1473.TW-PreTotalVolumeRate" advise="1">
        <values>
          <value>
            <val>2.36</val>
          </value>
        </values>
      </ddeItem>
      <ddeItem name="1473.TW-Price" advise="1">
        <values>
          <value>
            <val>18.3</val>
          </value>
        </values>
      </ddeItem>
      <ddeItem name="1473.TW-PriceChangeRatio" advise="1">
        <values>
          <value>
            <val>2.81</val>
          </value>
        </values>
      </ddeItem>
      <ddeItem name="1473.TW-Time" advise="1">
        <values>
          <value t="str">
            <val>10:10:24</val>
          </value>
        </values>
      </ddeItem>
      <ddeItem name="1473.TW-VolumeRatio" advise="1">
        <values>
          <value>
            <val>75.61</val>
          </value>
        </values>
      </ddeItem>
      <ddeItem name="1474.TW-5DayAvgVol" advise="1">
        <values>
          <value>
            <val>1407</val>
          </value>
        </values>
      </ddeItem>
      <ddeItem name="1474.TW-AvgPrice" advise="1">
        <values>
          <value>
            <val>15.9</val>
          </value>
        </values>
      </ddeItem>
      <ddeItem name="1474.TW-Capital" advise="1">
        <values>
          <value t="str">
            <val>12.99</val>
          </value>
        </values>
      </ddeItem>
      <ddeItem name="1474.TW-DLOrderValueDiffRatio" advise="1">
        <values>
          <value>
            <val>10.69</val>
          </value>
        </values>
      </ddeItem>
      <ddeItem name="1474.TW-DXLOrderOutValueRatio" advise="1">
        <values>
          <value>
            <val>25.35</val>
          </value>
        </values>
      </ddeItem>
      <ddeItem name="1474.TW-DXLOrderValueDiffRatio" advise="1">
        <values>
          <value>
            <val>17.98</val>
          </value>
        </values>
      </ddeItem>
      <ddeItem name="1474.TW-ExchangeIndustry" advise="1">
        <values>
          <value t="str">
            <val>上市紡織纖維</val>
          </value>
        </values>
      </ddeItem>
      <ddeItem name="1474.TW-ID" advise="1">
        <values>
          <value t="str">
            <val>1474</val>
          </value>
        </values>
      </ddeItem>
      <ddeItem name="1474.TW-InOutRatioNumber" advise="1">
        <values>
          <value t="str">
            <val>72.80%</val>
          </value>
        </values>
      </ddeItem>
      <ddeItem name="1474.TW-Name" advise="1">
        <values>
          <value t="str">
            <val>弘裕</val>
          </value>
        </values>
      </ddeItem>
      <ddeItem name="1474.TW-PreTotalVolumeRate" advise="1">
        <values>
          <value>
            <val>4.8600000000000003</val>
          </value>
        </values>
      </ddeItem>
      <ddeItem name="1474.TW-Price" advise="1">
        <values>
          <value>
            <val>16.05</val>
          </value>
        </values>
      </ddeItem>
      <ddeItem name="1474.TW-PriceChangeRatio" advise="1">
        <values>
          <value>
            <val>8.08</val>
          </value>
        </values>
      </ddeItem>
      <ddeItem name="1474.TW-Time" advise="1">
        <values>
          <value t="str">
            <val>10:15:11</val>
          </value>
        </values>
      </ddeItem>
      <ddeItem name="1474.TW-VolumeRatio" advise="1">
        <values>
          <value>
            <val>10.79</val>
          </value>
        </values>
      </ddeItem>
      <ddeItem name="1475.TW-5DayAvgVol" advise="1">
        <values>
          <value>
            <val>37</val>
          </value>
        </values>
      </ddeItem>
      <ddeItem name="1475.TW-AvgPrice" advise="1">
        <values>
          <value>
            <val>46.36</val>
          </value>
        </values>
      </ddeItem>
      <ddeItem name="1475.TW-Capital" advise="1">
        <values>
          <value t="str">
            <val>2.60</val>
          </value>
        </values>
      </ddeItem>
      <ddeItem name="1475.TW-DLOrderValueDiffRatio" advise="1">
        <values>
          <value>
            <val>0</val>
          </value>
        </values>
      </ddeItem>
      <ddeItem name="1475.TW-DXLOrderOutValueRatio" advise="1">
        <values>
          <value>
            <val>0</val>
          </value>
        </values>
      </ddeItem>
      <ddeItem name="1475.TW-DXLOrderValueDiffRatio" advise="1">
        <values>
          <value>
            <val>0</val>
          </value>
        </values>
      </ddeItem>
      <ddeItem name="1475.TW-ExchangeIndustry" advise="1">
        <values>
          <value t="str">
            <val>上市紡織纖維</val>
          </value>
        </values>
      </ddeItem>
      <ddeItem name="1475.TW-ID" advise="1">
        <values>
          <value t="str">
            <val>1475</val>
          </value>
        </values>
      </ddeItem>
      <ddeItem name="1475.TW-InOutRatioNumber" advise="1">
        <values>
          <value t="str">
            <val>16.67%</val>
          </value>
        </values>
      </ddeItem>
      <ddeItem name="1475.TW-Name" advise="1">
        <values>
          <value t="str">
            <val>業旺</val>
          </value>
        </values>
      </ddeItem>
      <ddeItem name="1475.TW-PreTotalVolumeRate" advise="1">
        <values>
          <value>
            <val>1</val>
          </value>
        </values>
      </ddeItem>
      <ddeItem name="1475.TW-Price" advise="1">
        <values>
          <value>
            <val>46.5</val>
          </value>
        </values>
      </ddeItem>
      <ddeItem name="1475.TW-PriceChangeRatio" advise="1">
        <values>
          <value>
            <val>0.32</val>
          </value>
        </values>
      </ddeItem>
      <ddeItem name="1475.TW-Time" advise="1">
        <values>
          <value t="str">
            <val>10:11:07</val>
          </value>
        </values>
      </ddeItem>
      <ddeItem name="1475.TW-VolumeRatio" advise="1">
        <values>
          <value>
            <val>3</val>
          </value>
        </values>
      </ddeItem>
      <ddeItem name="1476.TW-5DayAvgVol" advise="1">
        <values>
          <value>
            <val>1072</val>
          </value>
        </values>
      </ddeItem>
      <ddeItem name="1476.TW-AvgPrice" advise="1">
        <values>
          <value>
            <val>562.79999999999995</val>
          </value>
        </values>
      </ddeItem>
      <ddeItem name="1476.TW-Capital" advise="1">
        <values>
          <value t="str">
            <val>27.44</val>
          </value>
        </values>
      </ddeItem>
      <ddeItem name="1476.TW-DLOrderValueDiffRatio" advise="1">
        <values>
          <value>
            <val>-3.37</val>
          </value>
        </values>
      </ddeItem>
      <ddeItem name="1476.TW-DXLOrderOutValueRatio" advise="1">
        <values>
          <value>
            <val>2.46</val>
          </value>
        </values>
      </ddeItem>
      <ddeItem name="1476.TW-DXLOrderValueDiffRatio" advise="1">
        <values>
          <value>
            <val>-6.72</val>
          </value>
        </values>
      </ddeItem>
      <ddeItem name="1476.TW-ExchangeIndustry" advise="1">
        <values>
          <value t="str">
            <val>上市紡織纖維</val>
          </value>
        </values>
      </ddeItem>
      <ddeItem name="1476.TW-ID" advise="1">
        <values>
          <value t="str">
            <val>1476</val>
          </value>
        </values>
      </ddeItem>
      <ddeItem name="1476.TW-InOutRatioNumber" advise="1">
        <values>
          <value t="str">
            <val>53.09%</val>
          </value>
        </values>
      </ddeItem>
      <ddeItem name="1476.TW-Name" advise="1">
        <values>
          <value t="str">
            <val>儒鴻</val>
          </value>
        </values>
      </ddeItem>
      <ddeItem name="1476.TW-PreTotalVolumeRate" advise="1">
        <values>
          <value>
            <val>0.35</val>
          </value>
        </values>
      </ddeItem>
      <ddeItem name="1476.TW-Price" advise="1">
        <values>
          <value>
            <val>568</val>
          </value>
        </values>
      </ddeItem>
      <ddeItem name="1476.TW-PriceChangeRatio" advise="1">
        <values>
          <value>
            <val>2.71</val>
          </value>
        </values>
      </ddeItem>
      <ddeItem name="1476.TW-Time" advise="1">
        <values>
          <value t="str">
            <val>10:14:16</val>
          </value>
        </values>
      </ddeItem>
      <ddeItem name="1476.TW-VolumeRatio" advise="1">
        <values>
          <value>
            <val>0.78</val>
          </value>
        </values>
      </ddeItem>
      <ddeItem name="1477.TW-5DayAvgVol" advise="1">
        <values>
          <value>
            <val>1610</val>
          </value>
        </values>
      </ddeItem>
      <ddeItem name="1477.TW-AvgPrice" advise="1">
        <values>
          <value>
            <val>216.83</val>
          </value>
        </values>
      </ddeItem>
      <ddeItem name="1477.TW-Capital" advise="1">
        <values>
          <value t="str">
            <val>24.19</val>
          </value>
        </values>
      </ddeItem>
      <ddeItem name="1477.TW-DLOrderValueDiffRatio" advise="1">
        <values>
          <value>
            <val>16.399999999999999</val>
          </value>
        </values>
      </ddeItem>
      <ddeItem name="1477.TW-DXLOrderOutValueRatio" advise="1">
        <values>
          <value>
            <val>7.94</val>
          </value>
        </values>
      </ddeItem>
      <ddeItem name="1477.TW-DXLOrderValueDiffRatio" advise="1">
        <values>
          <value>
            <val>4.49</val>
          </value>
        </values>
      </ddeItem>
      <ddeItem name="1477.TW-ExchangeIndustry" advise="1">
        <values>
          <value t="str">
            <val>上市紡織纖維</val>
          </value>
        </values>
      </ddeItem>
      <ddeItem name="1477.TW-ID" advise="1">
        <values>
          <value t="str">
            <val>1477</val>
          </value>
        </values>
      </ddeItem>
      <ddeItem name="1477.TW-InOutRatioNumber" advise="1">
        <values>
          <value t="str">
            <val>69.71%</val>
          </value>
        </values>
      </ddeItem>
      <ddeItem name="1477.TW-Name" advise="1">
        <values>
          <value t="str">
            <val>聚陽</val>
          </value>
        </values>
      </ddeItem>
      <ddeItem name="1477.TW-PreTotalVolumeRate" advise="1">
        <values>
          <value>
            <val>0.33</val>
          </value>
        </values>
      </ddeItem>
      <ddeItem name="1477.TW-Price" advise="1">
        <values>
          <value>
            <val>220</val>
          </value>
        </values>
      </ddeItem>
      <ddeItem name="1477.TW-PriceChangeRatio" advise="1">
        <values>
          <value>
            <val>5.26</val>
          </value>
        </values>
      </ddeItem>
      <ddeItem name="1477.TW-Time" advise="1">
        <values>
          <value t="str">
            <val>10:14:47</val>
          </value>
        </values>
      </ddeItem>
      <ddeItem name="1477.TW-VolumeRatio" advise="1">
        <values>
          <value>
            <val>1.0900000000000001</val>
          </value>
        </values>
      </ddeItem>
      <ddeItem name="1503.TW-5DayAvgVol" advise="1">
        <values>
          <value>
            <val>153</val>
          </value>
        </values>
      </ddeItem>
      <ddeItem name="1503.TW-AvgPrice" advise="1">
        <values>
          <value>
            <val>50.36</val>
          </value>
        </values>
      </ddeItem>
      <ddeItem name="1503.TW-Capital" advise="1">
        <values>
          <value t="str">
            <val>52.10</val>
          </value>
        </values>
      </ddeItem>
      <ddeItem name="1503.TW-DLOrderValueDiffRatio" advise="1">
        <values>
          <value>
            <val>0</val>
          </value>
        </values>
      </ddeItem>
      <ddeItem name="1503.TW-DXLOrderOutValueRatio" advise="1">
        <values>
          <value>
            <val>0</val>
          </value>
        </values>
      </ddeItem>
      <ddeItem name="1503.TW-DXLOrderValueDiffRatio" advise="1">
        <values>
          <value>
            <val>0</val>
          </value>
        </values>
      </ddeItem>
      <ddeItem name="1503.TW-ExchangeIndustry" advise="1">
        <values>
          <value t="str">
            <val>上市電機機械</val>
          </value>
        </values>
      </ddeItem>
      <ddeItem name="1503.TW-ID" advise="1">
        <values>
          <value t="str">
            <val>1503</val>
          </value>
        </values>
      </ddeItem>
      <ddeItem name="1503.TW-InOutRatioNumber" advise="1">
        <values>
          <value t="str">
            <val>33.33%</val>
          </value>
        </values>
      </ddeItem>
      <ddeItem name="1503.TW-Name" advise="1">
        <values>
          <value t="str">
            <val>士電</val>
          </value>
        </values>
      </ddeItem>
      <ddeItem name="1503.TW-PreTotalVolumeRate" advise="1">
        <values>
          <value>
            <val>0.13</val>
          </value>
        </values>
      </ddeItem>
      <ddeItem name="1503.TW-Price" advise="1">
        <values>
          <value>
            <val>50.5</val>
          </value>
        </values>
      </ddeItem>
      <ddeItem name="1503.TW-PriceChangeRatio" advise="1">
        <values>
          <value>
            <val>0.2</val>
          </value>
        </values>
      </ddeItem>
      <ddeItem name="1503.TW-Time" advise="1">
        <values>
          <value t="str">
            <val>10:07:24</val>
          </value>
        </values>
      </ddeItem>
      <ddeItem name="1503.TW-VolumeRatio" advise="1">
        <values>
          <value>
            <val>0.4</val>
          </value>
        </values>
      </ddeItem>
      <ddeItem name="1504.TW-5DayAvgVol" advise="1">
        <values>
          <value>
            <val>1861</val>
          </value>
        </values>
      </ddeItem>
      <ddeItem name="1504.TW-AvgPrice" advise="1">
        <values>
          <value>
            <val>30.1</val>
          </value>
        </values>
      </ddeItem>
      <ddeItem name="1504.TW-Capital" advise="1">
        <values>
          <value t="str">
            <val>213.88</val>
          </value>
        </values>
      </ddeItem>
      <ddeItem name="1504.TW-DLOrderValueDiffRatio" advise="1">
        <values>
          <value>
            <val>-5.87</val>
          </value>
        </values>
      </ddeItem>
      <ddeItem name="1504.TW-DXLOrderOutValueRatio" advise="1">
        <values>
          <value>
            <val>0</val>
          </value>
        </values>
      </ddeItem>
      <ddeItem name="1504.TW-DXLOrderValueDiffRatio" advise="1">
        <values>
          <value>
            <val>0</val>
          </value>
        </values>
      </ddeItem>
      <ddeItem name="1504.TW-ExchangeIndustry" advise="1">
        <values>
          <value t="str">
            <val>上市電機機械</val>
          </value>
        </values>
      </ddeItem>
      <ddeItem name="1504.TW-ID" advise="1">
        <values>
          <value t="str">
            <val>1504</val>
          </value>
        </values>
      </ddeItem>
      <ddeItem name="1504.TW-InOutRatioNumber" advise="1">
        <values>
          <value t="str">
            <val>48.17%</val>
          </value>
        </values>
      </ddeItem>
      <ddeItem name="1504.TW-Name" advise="1">
        <values>
          <value t="str">
            <val>東元</val>
          </value>
        </values>
      </ddeItem>
      <ddeItem name="1504.TW-PreTotalVolumeRate" advise="1">
        <values>
          <value>
            <val>0.27</val>
          </value>
        </values>
      </ddeItem>
      <ddeItem name="1504.TW-Price" advise="1">
        <values>
          <value>
            <val>30</val>
          </value>
        </values>
      </ddeItem>
      <ddeItem name="1504.TW-PriceChangeRatio" advise="1">
        <values>
          <value>
            <val>-0.66</val>
          </value>
        </values>
      </ddeItem>
      <ddeItem name="1504.TW-Time" advise="1">
        <values>
          <value t="str">
            <val>10:14:57</val>
          </value>
        </values>
      </ddeItem>
      <ddeItem name="1504.TW-VolumeRatio" advise="1">
        <values>
          <value>
            <val>0.65</val>
          </value>
        </values>
      </ddeItem>
      <ddeItem name="1506.TW-5DayAvgVol" advise="1">
        <values>
          <value>
            <val>160</val>
          </value>
        </values>
      </ddeItem>
      <ddeItem name="1506.TW-AvgPrice" advise="1">
        <values>
          <value>
            <val>10.199999999999999</val>
          </value>
        </values>
      </ddeItem>
      <ddeItem name="1506.TW-Capital" advise="1">
        <values>
          <value t="str">
            <val>16.35</val>
          </value>
        </values>
      </ddeItem>
      <ddeItem name="1506.TW-DLOrderValueDiffRatio" advise="1">
        <values>
          <value>
            <val>0</val>
          </value>
        </values>
      </ddeItem>
      <ddeItem name="1506.TW-DXLOrderOutValueRatio" advise="1">
        <values>
          <value>
            <val>0</val>
          </value>
        </values>
      </ddeItem>
      <ddeItem name="1506.TW-DXLOrderValueDiffRatio" advise="1">
        <values>
          <value>
            <val>0</val>
          </value>
        </values>
      </ddeItem>
      <ddeItem name="1506.TW-ExchangeIndustry" advise="1">
        <values>
          <value t="str">
            <val>上市電機機械</val>
          </value>
        </values>
      </ddeItem>
      <ddeItem name="1506.TW-ID" advise="1">
        <values>
          <value t="str">
            <val>1506</val>
          </value>
        </values>
      </ddeItem>
      <ddeItem name="1506.TW-InOutRatioNumber" advise="1">
        <values>
          <value t="str">
            <val>79.82%</val>
          </value>
        </values>
      </ddeItem>
      <ddeItem name="1506.TW-Name" advise="1">
        <values>
          <value t="str">
            <val>正道</val>
          </value>
        </values>
      </ddeItem>
      <ddeItem name="1506.TW-PreTotalVolumeRate" advise="1">
        <values>
          <value>
            <val>0.84</val>
          </value>
        </values>
      </ddeItem>
      <ddeItem name="1506.TW-Price" advise="1">
        <values>
          <value>
            <val>10.199999999999999</val>
          </value>
        </values>
      </ddeItem>
      <ddeItem name="1506.TW-PriceChangeRatio" advise="1">
        <values>
          <value>
            <val>1.49</val>
          </value>
        </values>
      </ddeItem>
      <ddeItem name="1506.TW-Time" advise="1">
        <values>
          <value t="str">
            <val>10:13:57</val>
          </value>
        </values>
      </ddeItem>
      <ddeItem name="1506.TW-VolumeRatio" advise="1">
        <values>
          <value>
            <val>5.25</val>
          </value>
        </values>
      </ddeItem>
      <ddeItem name="1507.TW-5DayAvgVol" advise="1">
        <values>
          <value>
            <val>287</val>
          </value>
        </values>
      </ddeItem>
      <ddeItem name="1507.TW-AvgPrice" advise="1">
        <values>
          <value>
            <val>64.53</val>
          </value>
        </values>
      </ddeItem>
      <ddeItem name="1507.TW-Capital" advise="1">
        <values>
          <value t="str">
            <val>41.08</val>
          </value>
        </values>
      </ddeItem>
      <ddeItem name="1507.TW-DLOrderValueDiffRatio" advise="1">
        <values>
          <value>
            <val>0</val>
          </value>
        </values>
      </ddeItem>
      <ddeItem name="1507.TW-DXLOrderOutValueRatio" advise="1">
        <values>
          <value>
            <val>0</val>
          </value>
        </values>
      </ddeItem>
      <ddeItem name="1507.TW-DXLOrderValueDiffRatio" advise="1">
        <values>
          <value>
            <val>0</val>
          </value>
        </values>
      </ddeItem>
      <ddeItem name="1507.TW-ExchangeIndustry" advise="1">
        <values>
          <value t="str">
            <val>上市電機機械</val>
          </value>
        </values>
      </ddeItem>
      <ddeItem name="1507.TW-ID" advise="1">
        <values>
          <value t="str">
            <val>1507</val>
          </value>
        </values>
      </ddeItem>
      <ddeItem name="1507.TW-InOutRatioNumber" advise="1">
        <values>
          <value t="str">
            <val>40.00%</val>
          </value>
        </values>
      </ddeItem>
      <ddeItem name="1507.TW-Name" advise="1">
        <values>
          <value t="str">
            <val>永大</val>
          </value>
        </values>
      </ddeItem>
      <ddeItem name="1507.TW-PreTotalVolumeRate" advise="1">
        <values>
          <value>
            <val>0.1</val>
          </value>
        </values>
      </ddeItem>
      <ddeItem name="1507.TW-Price" advise="1">
        <values>
          <value>
            <val>64.5</val>
          </value>
        </values>
      </ddeItem>
      <ddeItem name="1507.TW-PriceChangeRatio" advise="1">
        <values>
          <value>
            <val>0</val>
          </value>
        </values>
      </ddeItem>
      <ddeItem name="1507.TW-Time" advise="1">
        <values>
          <value t="str">
            <val>10:10:06</val>
          </value>
        </values>
      </ddeItem>
      <ddeItem name="1507.TW-VolumeRatio" advise="1">
        <values>
          <value>
            <val>0.19</val>
          </value>
        </values>
      </ddeItem>
      <ddeItem name="1512.TW-5DayAvgVol" advise="1">
        <values>
          <value>
            <val>95</val>
          </value>
        </values>
      </ddeItem>
      <ddeItem name="1512.TW-AvgPrice" advise="1">
        <values>
          <value>
            <val>3.66</val>
          </value>
        </values>
      </ddeItem>
      <ddeItem name="1512.TW-Capital" advise="1">
        <values>
          <value t="str">
            <val>23.67</val>
          </value>
        </values>
      </ddeItem>
      <ddeItem name="1512.TW-DLOrderValueDiffRatio" advise="1">
        <values>
          <value>
            <val>0</val>
          </value>
        </values>
      </ddeItem>
      <ddeItem name="1512.TW-DXLOrderOutValueRatio" advise="1">
        <values>
          <value>
            <val>0</val>
          </value>
        </values>
      </ddeItem>
      <ddeItem name="1512.TW-DXLOrderValueDiffRatio" advise="1">
        <values>
          <value>
            <val>0</val>
          </value>
        </values>
      </ddeItem>
      <ddeItem name="1512.TW-ExchangeIndustry" advise="1">
        <values>
          <value t="str">
            <val>上市汽車</val>
          </value>
        </values>
      </ddeItem>
      <ddeItem name="1512.TW-ID" advise="1">
        <values>
          <value t="str">
            <val>1512</val>
          </value>
        </values>
      </ddeItem>
      <ddeItem name="1512.TW-InOutRatioNumber" advise="1">
        <values>
          <value t="str">
            <val>0.00%</val>
          </value>
        </values>
      </ddeItem>
      <ddeItem name="1512.TW-Name" advise="1">
        <values>
          <value t="str">
            <val>瑞利</val>
          </value>
        </values>
      </ddeItem>
      <ddeItem name="1512.TW-PreTotalVolumeRate" advise="1">
        <values>
          <value>
            <val>0.09</val>
          </value>
        </values>
      </ddeItem>
      <ddeItem name="1512.TW-Price" advise="1">
        <values>
          <value>
            <val>3.66</val>
          </value>
        </values>
      </ddeItem>
      <ddeItem name="1512.TW-PriceChangeRatio" advise="1">
        <values>
          <value>
            <val>-1.08</val>
          </value>
        </values>
      </ddeItem>
      <ddeItem name="1512.TW-Time" advise="1">
        <values>
          <value t="str">
            <val>10:00:08</val>
          </value>
        </values>
      </ddeItem>
      <ddeItem name="1512.TW-VolumeRatio" advise="1">
        <values>
          <value>
            <val>0</val>
          </value>
        </values>
      </ddeItem>
      <ddeItem name="1513.TW-5DayAvgVol" advise="1">
        <values>
          <value>
            <val>2577</val>
          </value>
        </values>
      </ddeItem>
      <ddeItem name="1513.TW-AvgPrice" advise="1">
        <values>
          <value>
            <val>46.05</val>
          </value>
        </values>
      </ddeItem>
      <ddeItem name="1513.TW-Capital" advise="1">
        <values>
          <value t="str">
            <val>47.61</val>
          </value>
        </values>
      </ddeItem>
      <ddeItem name="1513.TW-DLOrderValueDiffRatio" advise="1">
        <values>
          <value>
            <val>-6.1</val>
          </value>
        </values>
      </ddeItem>
      <ddeItem name="1513.TW-DXLOrderOutValueRatio" advise="1">
        <values>
          <value>
            <val>8.74</val>
          </value>
        </values>
      </ddeItem>
      <ddeItem name="1513.TW-DXLOrderValueDiffRatio" advise="1">
        <values>
          <value>
            <val>-1.96</val>
          </value>
        </values>
      </ddeItem>
      <ddeItem name="1513.TW-ExchangeIndustry" advise="1">
        <values>
          <value t="str">
            <val>上市電機機械</val>
          </value>
        </values>
      </ddeItem>
      <ddeItem name="1513.TW-ID" advise="1">
        <values>
          <value t="str">
            <val>1513</val>
          </value>
        </values>
      </ddeItem>
      <ddeItem name="1513.TW-InOutRatioNumber" advise="1">
        <values>
          <value t="str">
            <val>47.52%</val>
          </value>
        </values>
      </ddeItem>
      <ddeItem name="1513.TW-Name" advise="1">
        <values>
          <value t="str">
            <val>中興電</val>
          </value>
        </values>
      </ddeItem>
      <ddeItem name="1513.TW-PreTotalVolumeRate" advise="1">
        <values>
          <value>
            <val>0.44</val>
          </value>
        </values>
      </ddeItem>
      <ddeItem name="1513.TW-Price" advise="1">
        <values>
          <value>
            <val>45.85</val>
          </value>
        </values>
      </ddeItem>
      <ddeItem name="1513.TW-PriceChangeRatio" advise="1">
        <values>
          <value>
            <val>0.22</val>
          </value>
        </values>
      </ddeItem>
      <ddeItem name="1513.TW-Time" advise="1">
        <values>
          <value t="str">
            <val>10:14:40</val>
          </value>
        </values>
      </ddeItem>
      <ddeItem name="1513.TW-VolumeRatio" advise="1">
        <values>
          <value>
            <val>0.91</val>
          </value>
        </values>
      </ddeItem>
      <ddeItem name="1514.TW-5DayAvgVol" advise="1">
        <values>
          <value>
            <val>365</val>
          </value>
        </values>
      </ddeItem>
      <ddeItem name="1514.TW-AvgPrice" advise="1">
        <values>
          <value>
            <val>22.83</val>
          </value>
        </values>
      </ddeItem>
      <ddeItem name="1514.TW-Capital" advise="1">
        <values>
          <value t="str">
            <val>22.83</val>
          </value>
        </values>
      </ddeItem>
      <ddeItem name="1514.TW-DLOrderValueDiffRatio" advise="1">
        <values>
          <value>
            <val>0</val>
          </value>
        </values>
      </ddeItem>
      <ddeItem name="1514.TW-DXLOrderOutValueRatio" advise="1">
        <values>
          <value>
            <val>0</val>
          </value>
        </values>
      </ddeItem>
      <ddeItem name="1514.TW-DXLOrderValueDiffRatio" advise="1">
        <values>
          <value>
            <val>0</val>
          </value>
        </values>
      </ddeItem>
      <ddeItem name="1514.TW-ExchangeIndustry" advise="1">
        <values>
          <value t="str">
            <val>上市電機機械</val>
          </value>
        </values>
      </ddeItem>
      <ddeItem name="1514.TW-ID" advise="1">
        <values>
          <value t="str">
            <val>1514</val>
          </value>
        </values>
      </ddeItem>
      <ddeItem name="1514.TW-InOutRatioNumber" advise="1">
        <values>
          <value t="str">
            <val>55.32%</val>
          </value>
        </values>
      </ddeItem>
      <ddeItem name="1514.TW-Name" advise="1">
        <values>
          <value t="str">
            <val>亞力</val>
          </value>
        </values>
      </ddeItem>
      <ddeItem name="1514.TW-PreTotalVolumeRate" advise="1">
        <values>
          <value>
            <val>0.5</val>
          </value>
        </values>
      </ddeItem>
      <ddeItem name="1514.TW-Price" advise="1">
        <values>
          <value>
            <val>22.85</val>
          </value>
        </values>
      </ddeItem>
      <ddeItem name="1514.TW-PriceChangeRatio" advise="1">
        <values>
          <value>
            <val>1.1100000000000001</val>
          </value>
        </values>
      </ddeItem>
      <ddeItem name="1514.TW-Time" advise="1">
        <values>
          <value t="str">
            <val>10:14:15</val>
          </value>
        </values>
      </ddeItem>
      <ddeItem name="1514.TW-VolumeRatio" advise="1">
        <values>
          <value>
            <val>1.1299999999999999</val>
          </value>
        </values>
      </ddeItem>
      <ddeItem name="1515.TW-5DayAvgVol" advise="1">
        <values>
          <value>
            <val>366</val>
          </value>
        </values>
      </ddeItem>
      <ddeItem name="1515.TW-AvgPrice" advise="1">
        <values>
          <value>
            <val>65.569999999999993</val>
          </value>
        </values>
      </ddeItem>
      <ddeItem name="1515.TW-Capital" advise="1">
        <values>
          <value t="str">
            <val>18.15</val>
          </value>
        </values>
      </ddeItem>
      <ddeItem name="1515.TW-DLOrderValueDiffRatio" advise="1">
        <values>
          <value>
            <val>0</val>
          </value>
        </values>
      </ddeItem>
      <ddeItem name="1515.TW-DXLOrderOutValueRatio" advise="1">
        <values>
          <value>
            <val>31.46</val>
          </value>
        </values>
      </ddeItem>
      <ddeItem name="1515.TW-DXLOrderValueDiffRatio" advise="1">
        <values>
          <value>
            <val>31.46</val>
          </value>
        </values>
      </ddeItem>
      <ddeItem name="1515.TW-ExchangeIndustry" advise="1">
        <values>
          <value t="str">
            <val>上市電機機械</val>
          </value>
        </values>
      </ddeItem>
      <ddeItem name="1515.TW-ID" advise="1">
        <values>
          <value t="str">
            <val>1515</val>
          </value>
        </values>
      </ddeItem>
      <ddeItem name="1515.TW-InOutRatioNumber" advise="1">
        <values>
          <value t="str">
            <val>63.79%</val>
          </value>
        </values>
      </ddeItem>
      <ddeItem name="1515.TW-Name" advise="1">
        <values>
          <value t="str">
            <val>力山</val>
          </value>
        </values>
      </ddeItem>
      <ddeItem name="1515.TW-PreTotalVolumeRate" advise="1">
        <values>
          <value>
            <val>0.37</val>
          </value>
        </values>
      </ddeItem>
      <ddeItem name="1515.TW-Price" advise="1">
        <values>
          <value>
            <val>65.400000000000006</val>
          </value>
        </values>
      </ddeItem>
      <ddeItem name="1515.TW-PriceChangeRatio" advise="1">
        <values>
          <value>
            <val>-1.06</val>
          </value>
        </values>
      </ddeItem>
      <ddeItem name="1515.TW-Time" advise="1">
        <values>
          <value t="str">
            <val>10:12:51</val>
          </value>
        </values>
      </ddeItem>
      <ddeItem name="1515.TW-VolumeRatio" advise="1">
        <values>
          <value>
            <val>0.93</val>
          </value>
        </values>
      </ddeItem>
      <ddeItem name="1517.TW-5DayAvgVol" advise="1">
        <values>
          <value>
            <val>1318</val>
          </value>
        </values>
      </ddeItem>
      <ddeItem name="1517.TW-AvgPrice" advise="1">
        <values>
          <value>
            <val>24.25</val>
          </value>
        </values>
      </ddeItem>
      <ddeItem name="1517.TW-Capital" advise="1">
        <values>
          <value t="str">
            <val>22.78</val>
          </value>
        </values>
      </ddeItem>
      <ddeItem name="1517.TW-DLOrderValueDiffRatio" advise="1">
        <values>
          <value>
            <val>0</val>
          </value>
        </values>
      </ddeItem>
      <ddeItem name="1517.TW-DXLOrderOutValueRatio" advise="1">
        <values>
          <value>
            <val>0</val>
          </value>
        </values>
      </ddeItem>
      <ddeItem name="1517.TW-DXLOrderValueDiffRatio" advise="1">
        <values>
          <value>
            <val>0</val>
          </value>
        </values>
      </ddeItem>
      <ddeItem name="1517.TW-ExchangeIndustry" advise="1">
        <values>
          <value t="str">
            <val>上市電機機械</val>
          </value>
        </values>
      </ddeItem>
      <ddeItem name="1517.TW-ID" advise="1">
        <values>
          <value t="str">
            <val>1517</val>
          </value>
        </values>
      </ddeItem>
      <ddeItem name="1517.TW-InOutRatioNumber" advise="1">
        <values>
          <value t="str">
            <val>41.58%</val>
          </value>
        </values>
      </ddeItem>
      <ddeItem name="1517.TW-Name" advise="1">
        <values>
          <value t="str">
            <val>利奇</val>
          </value>
        </values>
      </ddeItem>
      <ddeItem name="1517.TW-PreTotalVolumeRate" advise="1">
        <values>
          <value>
            <val>0.28999999999999998</val>
          </value>
        </values>
      </ddeItem>
      <ddeItem name="1517.TW-Price" advise="1">
        <values>
          <value>
            <val>24.2</val>
          </value>
        </values>
      </ddeItem>
      <ddeItem name="1517.TW-PriceChangeRatio" advise="1">
        <values>
          <value>
            <val>-0.62</val>
          </value>
        </values>
      </ddeItem>
      <ddeItem name="1517.TW-Time" advise="1">
        <values>
          <value t="str">
            <val>10:12:47</val>
          </value>
        </values>
      </ddeItem>
      <ddeItem name="1517.TW-VolumeRatio" advise="1">
        <values>
          <value>
            <val>0.71</val>
          </value>
        </values>
      </ddeItem>
      <ddeItem name="1519.TW-5DayAvgVol" advise="1">
        <values>
          <value>
            <val>552</val>
          </value>
        </values>
      </ddeItem>
      <ddeItem name="1519.TW-AvgPrice" advise="1">
        <values>
          <value>
            <val>35.64</val>
          </value>
        </values>
      </ddeItem>
      <ddeItem name="1519.TW-Capital" advise="1">
        <values>
          <value t="str">
            <val>26.11</val>
          </value>
        </values>
      </ddeItem>
      <ddeItem name="1519.TW-DLOrderValueDiffRatio" advise="1">
        <values>
          <value>
            <val>0</val>
          </value>
        </values>
      </ddeItem>
      <ddeItem name="1519.TW-DXLOrderOutValueRatio" advise="1">
        <values>
          <value>
            <val>0</val>
          </value>
        </values>
      </ddeItem>
      <ddeItem name="1519.TW-DXLOrderValueDiffRatio" advise="1">
        <values>
          <value>
            <val>0</val>
          </value>
        </values>
      </ddeItem>
      <ddeItem name="1519.TW-ExchangeIndustry" advise="1">
        <values>
          <value t="str">
            <val>上市電機機械</val>
          </value>
        </values>
      </ddeItem>
      <ddeItem name="1519.TW-ID" advise="1">
        <values>
          <value t="str">
            <val>1519</val>
          </value>
        </values>
      </ddeItem>
      <ddeItem name="1519.TW-InOutRatioNumber" advise="1">
        <values>
          <value t="str">
            <val>36.76%</val>
          </value>
        </values>
      </ddeItem>
      <ddeItem name="1519.TW-Name" advise="1">
        <values>
          <value t="str">
            <val>華城</val>
          </value>
        </values>
      </ddeItem>
      <ddeItem name="1519.TW-PreTotalVolumeRate" advise="1">
        <values>
          <value>
            <val>0.19</val>
          </value>
        </values>
      </ddeItem>
      <ddeItem name="1519.TW-Price" advise="1">
        <values>
          <value>
            <val>35.6</val>
          </value>
        </values>
      </ddeItem>
      <ddeItem name="1519.TW-PriceChangeRatio" advise="1">
        <values>
          <value>
            <val>0</val>
          </value>
        </values>
      </ddeItem>
      <ddeItem name="1519.TW-Time" advise="1">
        <values>
          <value t="str">
            <val>10:14:26</val>
          </value>
        </values>
      </ddeItem>
      <ddeItem name="1519.TW-VolumeRatio" advise="1">
        <values>
          <value>
            <val>0.35</val>
          </value>
        </values>
      </ddeItem>
      <ddeItem name="1521.TW-5DayAvgVol" advise="1">
        <values>
          <value>
            <val>14</val>
          </value>
        </values>
      </ddeItem>
      <ddeItem name="1521.TW-AvgPrice" advise="1">
        <values>
          <value>
            <val>42.61</val>
          </value>
        </values>
      </ddeItem>
      <ddeItem name="1521.TW-Capital" advise="1">
        <values>
          <value t="str">
            <val>7.62</val>
          </value>
        </values>
      </ddeItem>
      <ddeItem name="1521.TW-DLOrderValueDiffRatio" advise="1">
        <values>
          <value>
            <val>0</val>
          </value>
        </values>
      </ddeItem>
      <ddeItem name="1521.TW-DXLOrderOutValueRatio" advise="1">
        <values>
          <value>
            <val>0</val>
          </value>
        </values>
      </ddeItem>
      <ddeItem name="1521.TW-DXLOrderValueDiffRatio" advise="1">
        <values>
          <value>
            <val>0</val>
          </value>
        </values>
      </ddeItem>
      <ddeItem name="1521.TW-ExchangeIndustry" advise="1">
        <values>
          <value t="str">
            <val>上市汽車</val>
          </value>
        </values>
      </ddeItem>
      <ddeItem name="1521.TW-ID" advise="1">
        <values>
          <value t="str">
            <val>1521</val>
          </value>
        </values>
      </ddeItem>
      <ddeItem name="1521.TW-InOutRatioNumber" advise="1">
        <values>
          <value t="str">
            <val>16.67%</val>
          </value>
        </values>
      </ddeItem>
      <ddeItem name="1521.TW-Name" advise="1">
        <values>
          <value t="str">
            <val>大億</val>
          </value>
        </values>
      </ddeItem>
      <ddeItem name="1521.TW-PreTotalVolumeRate" advise="1">
        <values>
          <value>
            <val>0.71</val>
          </value>
        </values>
      </ddeItem>
      <ddeItem name="1521.TW-Price" advise="1">
        <values>
          <value>
            <val>42.5</val>
          </value>
        </values>
      </ddeItem>
      <ddeItem name="1521.TW-PriceChangeRatio" advise="1">
        <values>
          <value>
            <val>-0.35</val>
          </value>
        </values>
      </ddeItem>
      <ddeItem name="1521.TW-Time" advise="1">
        <values>
          <value t="str">
            <val>10:14:41</val>
          </value>
        </values>
      </ddeItem>
      <ddeItem name="1521.TW-VolumeRatio" advise="1">
        <values>
          <value>
            <val>0</val>
          </value>
        </values>
      </ddeItem>
      <ddeItem name="1522.TW-5DayAvgVol" advise="1">
        <values>
          <value>
            <val>195</val>
          </value>
        </values>
      </ddeItem>
      <ddeItem name="1522.TW-AvgPrice" advise="1">
        <values>
          <value>
            <val>19.399999999999999</val>
          </value>
        </values>
      </ddeItem>
      <ddeItem name="1522.TW-Capital" advise="1">
        <values>
          <value t="str">
            <val>31.29</val>
          </value>
        </values>
      </ddeItem>
      <ddeItem name="1522.TW-DLOrderValueDiffRatio" advise="1">
        <values>
          <value>
            <val>0</val>
          </value>
        </values>
      </ddeItem>
      <ddeItem name="1522.TW-DXLOrderOutValueRatio" advise="1">
        <values>
          <value>
            <val>0</val>
          </value>
        </values>
      </ddeItem>
      <ddeItem name="1522.TW-DXLOrderValueDiffRatio" advise="1">
        <values>
          <value>
            <val>0</val>
          </value>
        </values>
      </ddeItem>
      <ddeItem name="1522.TW-ExchangeIndustry" advise="1">
        <values>
          <value t="str">
            <val>上市汽車</val>
          </value>
        </values>
      </ddeItem>
      <ddeItem name="1522.TW-ID" advise="1">
        <values>
          <value t="str">
            <val>1522</val>
          </value>
        </values>
      </ddeItem>
      <ddeItem name="1522.TW-InOutRatioNumber" advise="1">
        <values>
          <value t="str">
            <val>79.37%</val>
          </value>
        </values>
      </ddeItem>
      <ddeItem name="1522.TW-Name" advise="1">
        <values>
          <value t="str">
            <val>堤維西</val>
          </value>
        </values>
      </ddeItem>
      <ddeItem name="1522.TW-PreTotalVolumeRate" advise="1">
        <values>
          <value>
            <val>0.44</val>
          </value>
        </values>
      </ddeItem>
      <ddeItem name="1522.TW-Price" advise="1">
        <values>
          <value>
            <val>19.5</val>
          </value>
        </values>
      </ddeItem>
      <ddeItem name="1522.TW-PriceChangeRatio" advise="1">
        <values>
          <value>
            <val>0.78</val>
          </value>
        </values>
      </ddeItem>
      <ddeItem name="1522.TW-Time" advise="1">
        <values>
          <value t="str">
            <val>10:14:49</val>
          </value>
        </values>
      </ddeItem>
      <ddeItem name="1522.TW-VolumeRatio" advise="1">
        <values>
          <value>
            <val>1.33</val>
          </value>
        </values>
      </ddeItem>
      <ddeItem name="1524.TW-5DayAvgVol" advise="1">
        <values>
          <value>
            <val>118</val>
          </value>
        </values>
      </ddeItem>
      <ddeItem name="1524.TW-AvgPrice" advise="1">
        <values>
          <value>
            <val>9.82</val>
          </value>
        </values>
      </ddeItem>
      <ddeItem name="1524.TW-Capital" advise="1">
        <values>
          <value t="str">
            <val>16.53</val>
          </value>
        </values>
      </ddeItem>
      <ddeItem name="1524.TW-DLOrderValueDiffRatio" advise="1">
        <values>
          <value>
            <val>0</val>
          </value>
        </values>
      </ddeItem>
      <ddeItem name="1524.TW-DXLOrderOutValueRatio" advise="1">
        <values>
          <value>
            <val>0</val>
          </value>
        </values>
      </ddeItem>
      <ddeItem name="1524.TW-DXLOrderValueDiffRatio" advise="1">
        <values>
          <value>
            <val>0</val>
          </value>
        </values>
      </ddeItem>
      <ddeItem name="1524.TW-ExchangeIndustry" advise="1">
        <values>
          <value t="str">
            <val>上市汽車</val>
          </value>
        </values>
      </ddeItem>
      <ddeItem name="1524.TW-ID" advise="1">
        <values>
          <value t="str">
            <val>1524</val>
          </value>
        </values>
      </ddeItem>
      <ddeItem name="1524.TW-InOutRatioNumber" advise="1">
        <values>
          <value t="str">
            <val>48.75%</val>
          </value>
        </values>
      </ddeItem>
      <ddeItem name="1524.TW-Name" advise="1">
        <values>
          <value t="str">
            <val>耿鼎</val>
          </value>
        </values>
      </ddeItem>
      <ddeItem name="1524.TW-PreTotalVolumeRate" advise="1">
        <values>
          <value>
            <val>0.46</val>
          </value>
        </values>
      </ddeItem>
      <ddeItem name="1524.TW-Price" advise="1">
        <values>
          <value>
            <val>9.82</val>
          </value>
        </values>
      </ddeItem>
      <ddeItem name="1524.TW-PriceChangeRatio" advise="1">
        <values>
          <value>
            <val>-0.41</val>
          </value>
        </values>
      </ddeItem>
      <ddeItem name="1524.TW-Time" advise="1">
        <values>
          <value t="str">
            <val>10:13:15</val>
          </value>
        </values>
      </ddeItem>
      <ddeItem name="1524.TW-VolumeRatio" advise="1">
        <values>
          <value>
            <val>1.88</val>
          </value>
        </values>
      </ddeItem>
      <ddeItem name="1525.TW-5DayAvgVol" advise="1">
        <values>
          <value>
            <val>25</val>
          </value>
        </values>
      </ddeItem>
      <ddeItem name="1525.TW-AvgPrice" advise="1">
        <values>
          <value>
            <val>62.66</val>
          </value>
        </values>
      </ddeItem>
      <ddeItem name="1525.TW-Capital" advise="1">
        <values>
          <value t="str">
            <val>7.34</val>
          </value>
        </values>
      </ddeItem>
      <ddeItem name="1525.TW-DLOrderValueDiffRatio" advise="1">
        <values>
          <value>
            <val>0</val>
          </value>
        </values>
      </ddeItem>
      <ddeItem name="1525.TW-DXLOrderOutValueRatio" advise="1">
        <values>
          <value>
            <val>0</val>
          </value>
        </values>
      </ddeItem>
      <ddeItem name="1525.TW-DXLOrderValueDiffRatio" advise="1">
        <values>
          <value>
            <val>0</val>
          </value>
        </values>
      </ddeItem>
      <ddeItem name="1525.TW-ExchangeIndustry" advise="1">
        <values>
          <value t="str">
            <val>上市汽車</val>
          </value>
        </values>
      </ddeItem>
      <ddeItem name="1525.TW-ID" advise="1">
        <values>
          <value t="str">
            <val>1525</val>
          </value>
        </values>
      </ddeItem>
      <ddeItem name="1525.TW-InOutRatioNumber" advise="1">
        <values>
          <value t="str">
            <val>79.17%</val>
          </value>
        </values>
      </ddeItem>
      <ddeItem name="1525.TW-Name" advise="1">
        <values>
          <value t="str">
            <val>江申</val>
          </value>
        </values>
      </ddeItem>
      <ddeItem name="1525.TW-PreTotalVolumeRate" advise="1">
        <values>
          <value>
            <val>1.6</val>
          </value>
        </values>
      </ddeItem>
      <ddeItem name="1525.TW-Price" advise="1">
        <values>
          <value>
            <val>62.2</val>
          </value>
        </values>
      </ddeItem>
      <ddeItem name="1525.TW-PriceChangeRatio" advise="1">
        <values>
          <value>
            <val>1.1399999999999999</val>
          </value>
        </values>
      </ddeItem>
      <ddeItem name="1525.TW-Time" advise="1">
        <values>
          <value t="str">
            <val>09:54:52</val>
          </value>
        </values>
      </ddeItem>
      <ddeItem name="1525.TW-VolumeRatio" advise="1">
        <values>
          <value>
            <val>8.8000000000000007</val>
          </value>
        </values>
      </ddeItem>
      <ddeItem name="1526.TW-5DayAvgVol" advise="1">
        <values>
          <value>
            <val>272</val>
          </value>
        </values>
      </ddeItem>
      <ddeItem name="1526.TW-AvgPrice" advise="1">
        <values>
          <value>
            <val>44.44</val>
          </value>
        </values>
      </ddeItem>
      <ddeItem name="1526.TW-Capital" advise="1">
        <values>
          <value t="str">
            <val>6.00</val>
          </value>
        </values>
      </ddeItem>
      <ddeItem name="1526.TW-DLOrderValueDiffRatio" advise="1">
        <values>
          <value>
            <val>0</val>
          </value>
        </values>
      </ddeItem>
      <ddeItem name="1526.TW-DXLOrderOutValueRatio" advise="1">
        <values>
          <value>
            <val>0</val>
          </value>
        </values>
      </ddeItem>
      <ddeItem name="1526.TW-DXLOrderValueDiffRatio" advise="1">
        <values>
          <value>
            <val>0</val>
          </value>
        </values>
      </ddeItem>
      <ddeItem name="1526.TW-ExchangeIndustry" advise="1">
        <values>
          <value t="str">
            <val>上市電機機械</val>
          </value>
        </values>
      </ddeItem>
      <ddeItem name="1526.TW-ID" advise="1">
        <values>
          <value t="str">
            <val>1526</val>
          </value>
        </values>
      </ddeItem>
      <ddeItem name="1526.TW-InOutRatioNumber" advise="1">
        <values>
          <value t="str">
            <val>14.89%</val>
          </value>
        </values>
      </ddeItem>
      <ddeItem name="1526.TW-Name" advise="1">
        <values>
          <value t="str">
            <val>日馳</val>
          </value>
        </values>
      </ddeItem>
      <ddeItem name="1526.TW-PreTotalVolumeRate" advise="1">
        <values>
          <value>
            <val>0.28000000000000003</val>
          </value>
        </values>
      </ddeItem>
      <ddeItem name="1526.TW-Price" advise="1">
        <values>
          <value>
            <val>44.4</val>
          </value>
        </values>
      </ddeItem>
      <ddeItem name="1526.TW-PriceChangeRatio" advise="1">
        <values>
          <value>
            <val>0.11</val>
          </value>
        </values>
      </ddeItem>
      <ddeItem name="1526.TW-Time" advise="1">
        <values>
          <value t="str">
            <val>10:09:02</val>
          </value>
        </values>
      </ddeItem>
      <ddeItem name="1526.TW-VolumeRatio" advise="1">
        <values>
          <value>
            <val>0.7</val>
          </value>
        </values>
      </ddeItem>
      <ddeItem name="1527.TW-5DayAvgVol" advise="1">
        <values>
          <value>
            <val>307</val>
          </value>
        </values>
      </ddeItem>
      <ddeItem name="1527.TW-AvgPrice" advise="1">
        <values>
          <value>
            <val>42.67</val>
          </value>
        </values>
      </ddeItem>
      <ddeItem name="1527.TW-Capital" advise="1">
        <values>
          <value t="str">
            <val>13.86</val>
          </value>
        </values>
      </ddeItem>
      <ddeItem name="1527.TW-DLOrderValueDiffRatio" advise="1">
        <values>
          <value>
            <val>39.78</val>
          </value>
        </values>
      </ddeItem>
      <ddeItem name="1527.TW-DXLOrderOutValueRatio" advise="1">
        <values>
          <value>
            <val>0</val>
          </value>
        </values>
      </ddeItem>
      <ddeItem name="1527.TW-DXLOrderValueDiffRatio" advise="1">
        <values>
          <value>
            <val>0</val>
          </value>
        </values>
      </ddeItem>
      <ddeItem name="1527.TW-ExchangeIndustry" advise="1">
        <values>
          <value t="str">
            <val>上市電機機械</val>
          </value>
        </values>
      </ddeItem>
      <ddeItem name="1527.TW-ID" advise="1">
        <values>
          <value t="str">
            <val>1527</val>
          </value>
        </values>
      </ddeItem>
      <ddeItem name="1527.TW-InOutRatioNumber" advise="1">
        <values>
          <value t="str">
            <val>72.97%</val>
          </value>
        </values>
      </ddeItem>
      <ddeItem name="1527.TW-Name" advise="1">
        <values>
          <value t="str">
            <val>鑽全</val>
          </value>
        </values>
      </ddeItem>
      <ddeItem name="1527.TW-PreTotalVolumeRate" advise="1">
        <values>
          <value>
            <val>0.14000000000000001</val>
          </value>
        </values>
      </ddeItem>
      <ddeItem name="1527.TW-Price" advise="1">
        <values>
          <value>
            <val>42.5</val>
          </value>
        </values>
      </ddeItem>
      <ddeItem name="1527.TW-PriceChangeRatio" advise="1">
        <values>
          <value>
            <val>0.24</val>
          </value>
        </values>
      </ddeItem>
      <ddeItem name="1527.TW-Time" advise="1">
        <values>
          <value t="str">
            <val>10:12:30</val>
          </value>
        </values>
      </ddeItem>
      <ddeItem name="1527.TW-VolumeRatio" advise="1">
        <values>
          <value>
            <val>0.4</val>
          </value>
        </values>
      </ddeItem>
      <ddeItem name="1528.TW-5DayAvgVol" advise="1">
        <values>
          <value>
            <val>319</val>
          </value>
        </values>
      </ddeItem>
      <ddeItem name="1528.TW-AvgPrice" advise="1">
        <values>
          <value>
            <val>10.77</val>
          </value>
        </values>
      </ddeItem>
      <ddeItem name="1528.TW-Capital" advise="1">
        <values>
          <value t="str">
            <val>19.93</val>
          </value>
        </values>
      </ddeItem>
      <ddeItem name="1528.TW-DLOrderValueDiffRatio" advise="1">
        <values>
          <value>
            <val>34.86</val>
          </value>
        </values>
      </ddeItem>
      <ddeItem name="1528.TW-DXLOrderOutValueRatio" advise="1">
        <values>
          <value>
            <val>0</val>
          </value>
        </values>
      </ddeItem>
      <ddeItem name="1528.TW-DXLOrderValueDiffRatio" advise="1">
        <values>
          <value>
            <val>0</val>
          </value>
        </values>
      </ddeItem>
      <ddeItem name="1528.TW-ExchangeIndustry" advise="1">
        <values>
          <value t="str">
            <val>上市電機機械</val>
          </value>
        </values>
      </ddeItem>
      <ddeItem name="1528.TW-ID" advise="1">
        <values>
          <value t="str">
            <val>1528</val>
          </value>
        </values>
      </ddeItem>
      <ddeItem name="1528.TW-InOutRatioNumber" advise="1">
        <values>
          <value t="str">
            <val>88.04%</val>
          </value>
        </values>
      </ddeItem>
      <ddeItem name="1528.TW-Name" advise="1">
        <values>
          <value t="str">
            <val>恩德</val>
          </value>
        </values>
      </ddeItem>
      <ddeItem name="1528.TW-PreTotalVolumeRate" advise="1">
        <values>
          <value>
            <val>1</val>
          </value>
        </values>
      </ddeItem>
      <ddeItem name="1528.TW-Price" advise="1">
        <values>
          <value>
            <val>10.8</val>
          </value>
        </values>
      </ddeItem>
      <ddeItem name="1528.TW-PriceChangeRatio" advise="1">
        <values>
          <value>
            <val>1.41</val>
          </value>
        </values>
      </ddeItem>
      <ddeItem name="1528.TW-Time" advise="1">
        <values>
          <value t="str">
            <val>10:14:51</val>
          </value>
        </values>
      </ddeItem>
      <ddeItem name="1528.TW-VolumeRatio" advise="1">
        <values>
          <value>
            <val>2.57</val>
          </value>
        </values>
      </ddeItem>
      <ddeItem name="1529.TW-5DayAvgVol" advise="1">
        <values>
          <value>
            <val>635</val>
          </value>
        </values>
      </ddeItem>
      <ddeItem name="1529.TW-AvgPrice" advise="1">
        <values>
          <value>
            <val>16.25</val>
          </value>
        </values>
      </ddeItem>
      <ddeItem name="1529.TW-Capital" advise="1">
        <values>
          <value t="str">
            <val>13.60</val>
          </value>
        </values>
      </ddeItem>
      <ddeItem name="1529.TW-DLOrderValueDiffRatio" advise="1">
        <values>
          <value>
            <val>0</val>
          </value>
        </values>
      </ddeItem>
      <ddeItem name="1529.TW-DXLOrderOutValueRatio" advise="1">
        <values>
          <value>
            <val>0</val>
          </value>
        </values>
      </ddeItem>
      <ddeItem name="1529.TW-DXLOrderValueDiffRatio" advise="1">
        <values>
          <value>
            <val>0</val>
          </value>
        </values>
      </ddeItem>
      <ddeItem name="1529.TW-ExchangeIndustry" advise="1">
        <values>
          <value t="str">
            <val>上市電機機械</val>
          </value>
        </values>
      </ddeItem>
      <ddeItem name="1529.TW-ID" advise="1">
        <values>
          <value t="str">
            <val>1529</val>
          </value>
        </values>
      </ddeItem>
      <ddeItem name="1529.TW-InOutRatioNumber" advise="1">
        <values>
          <value t="str">
            <val>63.64%</val>
          </value>
        </values>
      </ddeItem>
      <ddeItem name="1529.TW-Name" advise="1">
        <values>
          <value t="str">
            <val>樂士</val>
          </value>
        </values>
      </ddeItem>
      <ddeItem name="1529.TW-PreTotalVolumeRate" advise="1">
        <values>
          <value>
            <val>0.21</val>
          </value>
        </values>
      </ddeItem>
      <ddeItem name="1529.TW-Price" advise="1">
        <values>
          <value>
            <val>16.2</val>
          </value>
        </values>
      </ddeItem>
      <ddeItem name="1529.TW-PriceChangeRatio" advise="1">
        <values>
          <value>
            <val>-0.31</val>
          </value>
        </values>
      </ddeItem>
      <ddeItem name="1529.TW-Time" advise="1">
        <values>
          <value t="str">
            <val>10:10:04</val>
          </value>
        </values>
      </ddeItem>
      <ddeItem name="1529.TW-VolumeRatio" advise="1">
        <values>
          <value>
            <val>0.6</val>
          </value>
        </values>
      </ddeItem>
      <ddeItem name="1530.TW-5DayAvgVol" advise="1">
        <values>
          <value>
            <val>34</val>
          </value>
        </values>
      </ddeItem>
      <ddeItem name="1530.TW-AvgPrice" advise="1">
        <values>
          <value>
            <val>33.5</val>
          </value>
        </values>
      </ddeItem>
      <ddeItem name="1530.TW-Capital" advise="1">
        <values>
          <value t="str">
            <val>9.66</val>
          </value>
        </values>
      </ddeItem>
      <ddeItem name="1530.TW-DLOrderValueDiffRatio" advise="1">
        <values>
          <value>
            <val>0</val>
          </value>
        </values>
      </ddeItem>
      <ddeItem name="1530.TW-DXLOrderOutValueRatio" advise="1">
        <values>
          <value>
            <val>0</val>
          </value>
        </values>
      </ddeItem>
      <ddeItem name="1530.TW-DXLOrderValueDiffRatio" advise="1">
        <values>
          <value>
            <val>0</val>
          </value>
        </values>
      </ddeItem>
      <ddeItem name="1530.TW-ExchangeIndustry" advise="1">
        <values>
          <value t="str">
            <val>上市電機機械</val>
          </value>
        </values>
      </ddeItem>
      <ddeItem name="1530.TW-ID" advise="1">
        <values>
          <value t="str">
            <val>1530</val>
          </value>
        </values>
      </ddeItem>
      <ddeItem name="1530.TW-InOutRatioNumber" advise="1">
        <values>
          <value t="str">
            <val>0.00%</val>
          </value>
        </values>
      </ddeItem>
      <ddeItem name="1530.TW-Name" advise="1">
        <values>
          <value t="str">
            <val>亞崴</val>
          </value>
        </values>
      </ddeItem>
      <ddeItem name="1530.TW-PreTotalVolumeRate" advise="1">
        <values>
          <value>
            <val>0.08</val>
          </value>
        </values>
      </ddeItem>
      <ddeItem name="1530.TW-Price" advise="1">
        <values>
          <value>
            <val>33.4</val>
          </value>
        </values>
      </ddeItem>
      <ddeItem name="1530.TW-PriceChangeRatio" advise="1">
        <values>
          <value>
            <val>-0.45</val>
          </value>
        </values>
      </ddeItem>
      <ddeItem name="1530.TW-Time" advise="1">
        <values>
          <value t="str">
            <val>10:10:18</val>
          </value>
        </values>
      </ddeItem>
      <ddeItem name="1530.TW-VolumeRatio" advise="1">
        <values>
          <value>
            <val>0</val>
          </value>
        </values>
      </ddeItem>
      <ddeItem name="1531.TW-5DayAvgVol" advise="1">
        <values>
          <value>
            <val>206</val>
          </value>
        </values>
      </ddeItem>
      <ddeItem name="1531.TW-AvgPrice" advise="1">
        <values>
          <value>
            <val>14.49</val>
          </value>
        </values>
      </ddeItem>
      <ddeItem name="1531.TW-Capital" advise="1">
        <values>
          <value t="str">
            <val>18.36</val>
          </value>
        </values>
      </ddeItem>
      <ddeItem name="1531.TW-DLOrderValueDiffRatio" advise="1">
        <values>
          <value>
            <val>0</val>
          </value>
        </values>
      </ddeItem>
      <ddeItem name="1531.TW-DXLOrderOutValueRatio" advise="1">
        <values>
          <value>
            <val>0</val>
          </value>
        </values>
      </ddeItem>
      <ddeItem name="1531.TW-DXLOrderValueDiffRatio" advise="1">
        <values>
          <value>
            <val>0</val>
          </value>
        </values>
      </ddeItem>
      <ddeItem name="1531.TW-ExchangeIndustry" advise="1">
        <values>
          <value t="str">
            <val>上市電機機械</val>
          </value>
        </values>
      </ddeItem>
      <ddeItem name="1531.TW-ID" advise="1">
        <values>
          <value t="str">
            <val>1531</val>
          </value>
        </values>
      </ddeItem>
      <ddeItem name="1531.TW-InOutRatioNumber" advise="1">
        <values>
          <value t="str">
            <val>20.69%</val>
          </value>
        </values>
      </ddeItem>
      <ddeItem name="1531.TW-Name" advise="1">
        <values>
          <value t="str">
            <val>高林股</val>
          </value>
        </values>
      </ddeItem>
      <ddeItem name="1531.TW-PreTotalVolumeRate" advise="1">
        <values>
          <value>
            <val>0.1</val>
          </value>
        </values>
      </ddeItem>
      <ddeItem name="1531.TW-Price" advise="1">
        <values>
          <value>
            <val>14.55</val>
          </value>
        </values>
      </ddeItem>
      <ddeItem name="1531.TW-PriceChangeRatio" advise="1">
        <values>
          <value>
            <val>-0.34</val>
          </value>
        </values>
      </ddeItem>
      <ddeItem name="1531.TW-Time" advise="1">
        <values>
          <value t="str">
            <val>10:10:50</val>
          </value>
        </values>
      </ddeItem>
      <ddeItem name="1531.TW-VolumeRatio" advise="1">
        <values>
          <value>
            <val>0.39</val>
          </value>
        </values>
      </ddeItem>
      <ddeItem name="1532.TW-5DayAvgVol" advise="1">
        <values>
          <value>
            <val>541</val>
          </value>
        </values>
      </ddeItem>
      <ddeItem name="1532.TW-AvgPrice" advise="1">
        <values>
          <value>
            <val>31.93</val>
          </value>
        </values>
      </ddeItem>
      <ddeItem name="1532.TW-Capital" advise="1">
        <values>
          <value t="str">
            <val>37.61</val>
          </value>
        </values>
      </ddeItem>
      <ddeItem name="1532.TW-DLOrderValueDiffRatio" advise="1">
        <values>
          <value>
            <val>0</val>
          </value>
        </values>
      </ddeItem>
      <ddeItem name="1532.TW-DXLOrderOutValueRatio" advise="1">
        <values>
          <value>
            <val>0</val>
          </value>
        </values>
      </ddeItem>
      <ddeItem name="1532.TW-DXLOrderValueDiffRatio" advise="1">
        <values>
          <value>
            <val>0</val>
          </value>
        </values>
      </ddeItem>
      <ddeItem name="1532.TW-ExchangeIndustry" advise="1">
        <values>
          <value t="str">
            <val>上市電機機械</val>
          </value>
        </values>
      </ddeItem>
      <ddeItem name="1532.TW-ID" advise="1">
        <values>
          <value t="str">
            <val>1532</val>
          </value>
        </values>
      </ddeItem>
      <ddeItem name="1532.TW-InOutRatioNumber" advise="1">
        <values>
          <value t="str">
            <val>36.84%</val>
          </value>
        </values>
      </ddeItem>
      <ddeItem name="1532.TW-Name" advise="1">
        <values>
          <value t="str">
            <val>勤美</val>
          </value>
        </values>
      </ddeItem>
      <ddeItem name="1532.TW-PreTotalVolumeRate" advise="1">
        <values>
          <value>
            <val>0.2</val>
          </value>
        </values>
      </ddeItem>
      <ddeItem name="1532.TW-Price" advise="1">
        <values>
          <value>
            <val>31.75</val>
          </value>
        </values>
      </ddeItem>
      <ddeItem name="1532.TW-PriceChangeRatio" advise="1">
        <values>
          <value>
            <val>-0.31</val>
          </value>
        </values>
      </ddeItem>
      <ddeItem name="1532.TW-Time" advise="1">
        <values>
          <value t="str">
            <val>10:14:13</val>
          </value>
        </values>
      </ddeItem>
      <ddeItem name="1532.TW-VolumeRatio" advise="1">
        <values>
          <value>
            <val>0.56000000000000005</val>
          </value>
        </values>
      </ddeItem>
      <ddeItem name="1533.TW-5DayAvgVol" advise="1">
        <values>
          <value>
            <val>108</val>
          </value>
        </values>
      </ddeItem>
      <ddeItem name="1533.TW-AvgPrice" advise="1">
        <values>
          <value>
            <val>45.65</val>
          </value>
        </values>
      </ddeItem>
      <ddeItem name="1533.TW-Capital" advise="1">
        <values>
          <value t="str">
            <val>9.85</val>
          </value>
        </values>
      </ddeItem>
      <ddeItem name="1533.TW-DLOrderValueDiffRatio" advise="1">
        <values>
          <value>
            <val>4.26</val>
          </value>
        </values>
      </ddeItem>
      <ddeItem name="1533.TW-DXLOrderOutValueRatio" advise="1">
        <values>
          <value>
            <val>8.18</val>
          </value>
        </values>
      </ddeItem>
      <ddeItem name="1533.TW-DXLOrderValueDiffRatio" advise="1">
        <values>
          <value>
            <val>8.18</val>
          </value>
        </values>
      </ddeItem>
      <ddeItem name="1533.TW-ExchangeIndustry" advise="1">
        <values>
          <value t="str">
            <val>上市汽車</val>
          </value>
        </values>
      </ddeItem>
      <ddeItem name="1533.TW-ID" advise="1">
        <values>
          <value t="str">
            <val>1533</val>
          </value>
        </values>
      </ddeItem>
      <ddeItem name="1533.TW-InOutRatioNumber" advise="1">
        <values>
          <value t="str">
            <val>90.03%</val>
          </value>
        </values>
      </ddeItem>
      <ddeItem name="1533.TW-Name" advise="1">
        <values>
          <value t="str">
            <val>車王電</val>
          </value>
        </values>
      </ddeItem>
      <ddeItem name="1533.TW-PreTotalVolumeRate" advise="1">
        <values>
          <value>
            <val>3.59</val>
          </value>
        </values>
      </ddeItem>
      <ddeItem name="1533.TW-Price" advise="1">
        <values>
          <value>
            <val>46.65</val>
          </value>
        </values>
      </ddeItem>
      <ddeItem name="1533.TW-PriceChangeRatio" advise="1">
        <values>
          <value>
            <val>9.89</val>
          </value>
        </values>
      </ddeItem>
      <ddeItem name="1533.TW-Time" advise="1">
        <values>
          <value t="str">
            <val>10:15:13</val>
          </value>
        </values>
      </ddeItem>
      <ddeItem name="1533.TW-VolumeRatio" advise="1">
        <values>
          <value>
            <val>7.62</val>
          </value>
        </values>
      </ddeItem>
      <ddeItem name="1535.TW-5DayAvgVol" advise="1">
        <values>
          <value>
            <val>37</val>
          </value>
        </values>
      </ddeItem>
      <ddeItem name="1535.TW-AvgPrice" advise="1">
        <values>
          <value>
            <val>39.07</val>
          </value>
        </values>
      </ddeItem>
      <ddeItem name="1535.TW-Capital" advise="1">
        <values>
          <value t="str">
            <val>12.37</val>
          </value>
        </values>
      </ddeItem>
      <ddeItem name="1535.TW-DLOrderValueDiffRatio" advise="1">
        <values>
          <value>
            <val>0</val>
          </value>
        </values>
      </ddeItem>
      <ddeItem name="1535.TW-DXLOrderOutValueRatio" advise="1">
        <values>
          <value>
            <val>0</val>
          </value>
        </values>
      </ddeItem>
      <ddeItem name="1535.TW-DXLOrderValueDiffRatio" advise="1">
        <values>
          <value>
            <val>0</val>
          </value>
        </values>
      </ddeItem>
      <ddeItem name="1535.TW-ExchangeIndustry" advise="1">
        <values>
          <value t="str">
            <val>上市電機機械</val>
          </value>
        </values>
      </ddeItem>
      <ddeItem name="1535.TW-ID" advise="1">
        <values>
          <value t="str">
            <val>1535</val>
          </value>
        </values>
      </ddeItem>
      <ddeItem name="1535.TW-InOutRatioNumber" advise="1">
        <values>
          <value t="str">
            <val>0.00%</val>
          </value>
        </values>
      </ddeItem>
      <ddeItem name="1535.TW-Name" advise="1">
        <values>
          <value t="str">
            <val>中宇</val>
          </value>
        </values>
      </ddeItem>
      <ddeItem name="1535.TW-PreTotalVolumeRate" advise="1">
        <values>
          <value>
            <val>0.38</val>
          </value>
        </values>
      </ddeItem>
      <ddeItem name="1535.TW-Price" advise="1">
        <values>
          <value>
            <val>39</val>
          </value>
        </values>
      </ddeItem>
      <ddeItem name="1535.TW-PriceChangeRatio" advise="1">
        <values>
          <value>
            <val>-0.38</val>
          </value>
        </values>
      </ddeItem>
      <ddeItem name="1535.TW-Time" advise="1">
        <values>
          <value t="str">
            <val>09:50:34</val>
          </value>
        </values>
      </ddeItem>
      <ddeItem name="1535.TW-VolumeRatio" advise="1">
        <values>
          <value>
            <val>2.65</val>
          </value>
        </values>
      </ddeItem>
      <ddeItem name="1536.TW-5DayAvgVol" advise="1">
        <values>
          <value>
            <val>520</val>
          </value>
        </values>
      </ddeItem>
      <ddeItem name="1536.TW-AvgPrice" advise="1">
        <values>
          <value>
            <val>90.93</val>
          </value>
        </values>
      </ddeItem>
      <ddeItem name="1536.TW-Capital" advise="1">
        <values>
          <value t="str">
            <val>27.95</val>
          </value>
        </values>
      </ddeItem>
      <ddeItem name="1536.TW-DLOrderValueDiffRatio" advise="1">
        <values>
          <value>
            <val>-9.56</val>
          </value>
        </values>
      </ddeItem>
      <ddeItem name="1536.TW-DXLOrderOutValueRatio" advise="1">
        <values>
          <value>
            <val>0</val>
          </value>
        </values>
      </ddeItem>
      <ddeItem name="1536.TW-DXLOrderValueDiffRatio" advise="1">
        <values>
          <value>
            <val>-12.2</val>
          </value>
        </values>
      </ddeItem>
      <ddeItem name="1536.TW-ExchangeIndustry" advise="1">
        <values>
          <value t="str">
            <val>上市汽車</val>
          </value>
        </values>
      </ddeItem>
      <ddeItem name="1536.TW-ID" advise="1">
        <values>
          <value t="str">
            <val>1536</val>
          </value>
        </values>
      </ddeItem>
      <ddeItem name="1536.TW-InOutRatioNumber" advise="1">
        <values>
          <value t="str">
            <val>23.01%</val>
          </value>
        </values>
      </ddeItem>
      <ddeItem name="1536.TW-Name" advise="1">
        <values>
          <value t="str">
            <val>和大</val>
          </value>
        </values>
      </ddeItem>
      <ddeItem name="1536.TW-PreTotalVolumeRate" advise="1">
        <values>
          <value>
            <val>0.22</val>
          </value>
        </values>
      </ddeItem>
      <ddeItem name="1536.TW-Price" advise="1">
        <values>
          <value>
            <val>90.5</val>
          </value>
        </values>
      </ddeItem>
      <ddeItem name="1536.TW-PriceChangeRatio" advise="1">
        <values>
          <value>
            <val>-0.44</val>
          </value>
        </values>
      </ddeItem>
      <ddeItem name="1536.TW-Time" advise="1">
        <values>
          <value t="str">
            <val>10:14:31</val>
          </value>
        </values>
      </ddeItem>
      <ddeItem name="1536.TW-VolumeRatio" advise="1">
        <values>
          <value>
            <val>0.52</val>
          </value>
        </values>
      </ddeItem>
      <ddeItem name="1537.TW-5DayAvgVol" advise="1">
        <values>
          <value>
            <val>82</val>
          </value>
        </values>
      </ddeItem>
      <ddeItem name="1537.TW-AvgPrice" advise="1">
        <values>
          <value>
            <val>138.22999999999999</val>
          </value>
        </values>
      </ddeItem>
      <ddeItem name="1537.TW-Capital" advise="1">
        <values>
          <value t="str">
            <val>8.24</val>
          </value>
        </values>
      </ddeItem>
      <ddeItem name="1537.TW-DLOrderValueDiffRatio" advise="1">
        <values>
          <value>
            <val>0</val>
          </value>
        </values>
      </ddeItem>
      <ddeItem name="1537.TW-DXLOrderOutValueRatio" advise="1">
        <values>
          <value>
            <val>0</val>
          </value>
        </values>
      </ddeItem>
      <ddeItem name="1537.TW-DXLOrderValueDiffRatio" advise="1">
        <values>
          <value>
            <val>0</val>
          </value>
        </values>
      </ddeItem>
      <ddeItem name="1537.TW-ExchangeIndustry" advise="1">
        <values>
          <value t="str">
            <val>上市電機機械</val>
          </value>
        </values>
      </ddeItem>
      <ddeItem name="1537.TW-ID" advise="1">
        <values>
          <value t="str">
            <val>1537</val>
          </value>
        </values>
      </ddeItem>
      <ddeItem name="1537.TW-InOutRatioNumber" advise="1">
        <values>
          <value t="str">
            <val>45.45%</val>
          </value>
        </values>
      </ddeItem>
      <ddeItem name="1537.TW-Name" advise="1">
        <values>
          <value t="str">
            <val>廣隆</val>
          </value>
        </values>
      </ddeItem>
      <ddeItem name="1537.TW-PreTotalVolumeRate" advise="1">
        <values>
          <value>
            <val>0.28000000000000003</val>
          </value>
        </values>
      </ddeItem>
      <ddeItem name="1537.TW-Price" advise="1">
        <values>
          <value>
            <val>138.5</val>
          </value>
        </values>
      </ddeItem>
      <ddeItem name="1537.TW-PriceChangeRatio" advise="1">
        <values>
          <value>
            <val>0.36</val>
          </value>
        </values>
      </ddeItem>
      <ddeItem name="1537.TW-Time" advise="1">
        <values>
          <value t="str">
            <val>10:05:58</val>
          </value>
        </values>
      </ddeItem>
      <ddeItem name="1537.TW-VolumeRatio" advise="1">
        <values>
          <value>
            <val>1.88</val>
          </value>
        </values>
      </ddeItem>
      <ddeItem name="1538.TW-5DayAvgVol" advise="1">
        <values>
          <value>
            <val>15</val>
          </value>
        </values>
      </ddeItem>
      <ddeItem name="1538.TW-AvgPrice" advise="1">
        <values>
          <value>
            <val>10.43</val>
          </value>
        </values>
      </ddeItem>
      <ddeItem name="1538.TW-Capital" advise="1">
        <values>
          <value t="str">
            <val>2.64</val>
          </value>
        </values>
      </ddeItem>
      <ddeItem name="1538.TW-DLOrderValueDiffRatio" advise="1">
        <values>
          <value>
            <val>0</val>
          </value>
        </values>
      </ddeItem>
      <ddeItem name="1538.TW-DXLOrderOutValueRatio" advise="1">
        <values>
          <value>
            <val>0</val>
          </value>
        </values>
      </ddeItem>
      <ddeItem name="1538.TW-DXLOrderValueDiffRatio" advise="1">
        <values>
          <value>
            <val>0</val>
          </value>
        </values>
      </ddeItem>
      <ddeItem name="1538.TW-ExchangeIndustry" advise="1">
        <values>
          <value t="str">
            <val>上市電機機械</val>
          </value>
        </values>
      </ddeItem>
      <ddeItem name="1538.TW-ID" advise="1">
        <values>
          <value t="str">
            <val>1538</val>
          </value>
        </values>
      </ddeItem>
      <ddeItem name="1538.TW-InOutRatioNumber" advise="1">
        <values>
          <value t="str">
            <val>100.00%</val>
          </value>
        </values>
      </ddeItem>
      <ddeItem name="1538.TW-Name" advise="1">
        <values>
          <value t="str">
            <val>正峰</val>
          </value>
        </values>
      </ddeItem>
      <ddeItem name="1538.TW-PreTotalVolumeRate" advise="1">
        <values>
          <value>
            <val>0.48</val>
          </value>
        </values>
      </ddeItem>
      <ddeItem name="1538.TW-Price" advise="1">
        <values>
          <value>
            <val>10.5</val>
          </value>
        </values>
      </ddeItem>
      <ddeItem name="1538.TW-PriceChangeRatio" advise="1">
        <values>
          <value>
            <val>0.96</val>
          </value>
        </values>
      </ddeItem>
      <ddeItem name="1538.TW-Time" advise="1">
        <values>
          <value t="str">
            <val>09:50:53</val>
          </value>
        </values>
      </ddeItem>
      <ddeItem name="1538.TW-VolumeRatio" advise="1">
        <values>
          <value>
            <val>0</val>
          </value>
        </values>
      </ddeItem>
      <ddeItem name="1539.TW-5DayAvgVol" advise="1">
        <values>
          <value>
            <val>77</val>
          </value>
        </values>
      </ddeItem>
      <ddeItem name="1539.TW-AvgPrice" advise="1">
        <values>
          <value>
            <val>17.77</val>
          </value>
        </values>
      </ddeItem>
      <ddeItem name="1539.TW-Capital" advise="1">
        <values>
          <value t="str">
            <val>6.54</val>
          </value>
        </values>
      </ddeItem>
      <ddeItem name="1539.TW-DLOrderValueDiffRatio" advise="1">
        <values>
          <value>
            <val>0</val>
          </value>
        </values>
      </ddeItem>
      <ddeItem name="1539.TW-DXLOrderOutValueRatio" advise="1">
        <values>
          <value>
            <val>0</val>
          </value>
        </values>
      </ddeItem>
      <ddeItem name="1539.TW-DXLOrderValueDiffRatio" advise="1">
        <values>
          <value>
            <val>0</val>
          </value>
        </values>
      </ddeItem>
      <ddeItem name="1539.TW-ExchangeIndustry" advise="1">
        <values>
          <value t="str">
            <val>上市電機機械</val>
          </value>
        </values>
      </ddeItem>
      <ddeItem name="1539.TW-ID" advise="1">
        <values>
          <value t="str">
            <val>1539</val>
          </value>
        </values>
      </ddeItem>
      <ddeItem name="1539.TW-InOutRatioNumber" advise="1">
        <values>
          <value t="str">
            <val>10.00%</val>
          </value>
        </values>
      </ddeItem>
      <ddeItem name="1539.TW-Name" advise="1">
        <values>
          <value t="str">
            <val>巨庭</val>
          </value>
        </values>
      </ddeItem>
      <ddeItem name="1539.TW-PreTotalVolumeRate" advise="1">
        <values>
          <value>
            <val>0.4</val>
          </value>
        </values>
      </ddeItem>
      <ddeItem name="1539.TW-Price" advise="1">
        <values>
          <value>
            <val>17.75</val>
          </value>
        </values>
      </ddeItem>
      <ddeItem name="1539.TW-PriceChangeRatio" advise="1">
        <values>
          <value>
            <val>0</val>
          </value>
        </values>
      </ddeItem>
      <ddeItem name="1539.TW-Time" advise="1">
        <values>
          <value t="str">
            <val>09:55:32</val>
          </value>
        </values>
      </ddeItem>
      <ddeItem name="1539.TW-VolumeRatio" advise="1">
        <values>
          <value>
            <val>1.2</val>
          </value>
        </values>
      </ddeItem>
      <ddeItem name="1540.TW-5DayAvgVol" advise="1">
        <values>
          <value>
            <val>170</val>
          </value>
        </values>
      </ddeItem>
      <ddeItem name="1540.TW-AvgPrice" advise="1">
        <values>
          <value>
            <val>14.53</val>
          </value>
        </values>
      </ddeItem>
      <ddeItem name="1540.TW-Capital" advise="1">
        <values>
          <value t="str">
            <val>8.55</val>
          </value>
        </values>
      </ddeItem>
      <ddeItem name="1540.TW-DLOrderValueDiffRatio" advise="1">
        <values>
          <value>
            <val>0</val>
          </value>
        </values>
      </ddeItem>
      <ddeItem name="1540.TW-DXLOrderOutValueRatio" advise="1">
        <values>
          <value>
            <val>0</val>
          </value>
        </values>
      </ddeItem>
      <ddeItem name="1540.TW-DXLOrderValueDiffRatio" advise="1">
        <values>
          <value>
            <val>0</val>
          </value>
        </values>
      </ddeItem>
      <ddeItem name="1540.TW-ExchangeIndustry" advise="1">
        <values>
          <value t="str">
            <val>上市電機機械</val>
          </value>
        </values>
      </ddeItem>
      <ddeItem name="1540.TW-ID" advise="1">
        <values>
          <value t="str">
            <val>1540</val>
          </value>
        </values>
      </ddeItem>
      <ddeItem name="1540.TW-InOutRatioNumber" advise="1">
        <values>
          <value t="str">
            <val>34.78%</val>
          </value>
        </values>
      </ddeItem>
      <ddeItem name="1540.TW-Name" advise="1">
        <values>
          <value t="str">
            <val>喬福</val>
          </value>
        </values>
      </ddeItem>
      <ddeItem name="1540.TW-PreTotalVolumeRate" advise="1">
        <values>
          <value>
            <val>0.22</val>
          </value>
        </values>
      </ddeItem>
      <ddeItem name="1540.TW-Price" advise="1">
        <values>
          <value>
            <val>14.6</val>
          </value>
        </values>
      </ddeItem>
      <ddeItem name="1540.TW-PriceChangeRatio" advise="1">
        <values>
          <value>
            <val>0</val>
          </value>
        </values>
      </ddeItem>
      <ddeItem name="1540.TW-Time" advise="1">
        <values>
          <value t="str">
            <val>10:09:29</val>
          </value>
        </values>
      </ddeItem>
      <ddeItem name="1540.TW-VolumeRatio" advise="1">
        <values>
          <value>
            <val>1.07</val>
          </value>
        </values>
      </ddeItem>
      <ddeItem name="1541.TW-5DayAvgVol" advise="1">
        <values>
          <value>
            <val>38</val>
          </value>
        </values>
      </ddeItem>
      <ddeItem name="1541.TW-AvgPrice" advise="1">
        <values>
          <value>
            <val>43.4</val>
          </value>
        </values>
      </ddeItem>
      <ddeItem name="1541.TW-Capital" advise="1">
        <values>
          <value t="str">
            <val>7.88</val>
          </value>
        </values>
      </ddeItem>
      <ddeItem name="1541.TW-DLOrderValueDiffRatio" advise="1">
        <values>
          <value>
            <val>0</val>
          </value>
        </values>
      </ddeItem>
      <ddeItem name="1541.TW-DXLOrderOutValueRatio" advise="1">
        <values>
          <value>
            <val>0</val>
          </value>
        </values>
      </ddeItem>
      <ddeItem name="1541.TW-DXLOrderValueDiffRatio" advise="1">
        <values>
          <value>
            <val>0</val>
          </value>
        </values>
      </ddeItem>
      <ddeItem name="1541.TW-ExchangeIndustry" advise="1">
        <values>
          <value t="str">
            <val>上市電機機械</val>
          </value>
        </values>
      </ddeItem>
      <ddeItem name="1541.TW-ID" advise="1">
        <values>
          <value t="str">
            <val>1541</val>
          </value>
        </values>
      </ddeItem>
      <ddeItem name="1541.TW-InOutRatioNumber" advise="1">
        <values>
          <value t="str">
            <val>0.00%</val>
          </value>
        </values>
      </ddeItem>
      <ddeItem name="1541.TW-Name" advise="1">
        <values>
          <value t="str">
            <val>錩泰</val>
          </value>
        </values>
      </ddeItem>
      <ddeItem name="1541.TW-PreTotalVolumeRate" advise="1">
        <values>
          <value>
            <val>0.27</val>
          </value>
        </values>
      </ddeItem>
      <ddeItem name="1541.TW-Price" advise="1">
        <values>
          <value>
            <val>43.5</val>
          </value>
        </values>
      </ddeItem>
      <ddeItem name="1541.TW-PriceChangeRatio" advise="1">
        <values>
          <value>
            <val>0.69</val>
          </value>
        </values>
      </ddeItem>
      <ddeItem name="1541.TW-Time" advise="1">
        <values>
          <value t="str">
            <val>10:06:21</val>
          </value>
        </values>
      </ddeItem>
      <ddeItem name="1541.TW-VolumeRatio" advise="1">
        <values>
          <value>
            <val>1.64</val>
          </value>
        </values>
      </ddeItem>
      <ddeItem name="1558.TW-5DayAvgVol" advise="1">
        <values>
          <value>
            <val>91</val>
          </value>
        </values>
      </ddeItem>
      <ddeItem name="1558.TW-AvgPrice" advise="1">
        <values>
          <value>
            <val>146.55000000000001</val>
          </value>
        </values>
      </ddeItem>
      <ddeItem name="1558.TW-Capital" advise="1">
        <values>
          <value t="str">
            <val>6.05</val>
          </value>
        </values>
      </ddeItem>
      <ddeItem name="1558.TW-DLOrderValueDiffRatio" advise="1">
        <values>
          <value>
            <val>0</val>
          </value>
        </values>
      </ddeItem>
      <ddeItem name="1558.TW-DXLOrderOutValueRatio" advise="1">
        <values>
          <value>
            <val>0</val>
          </value>
        </values>
      </ddeItem>
      <ddeItem name="1558.TW-DXLOrderValueDiffRatio" advise="1">
        <values>
          <value>
            <val>0</val>
          </value>
        </values>
      </ddeItem>
      <ddeItem name="1558.TW-ExchangeIndustry" advise="1">
        <values>
          <value t="str">
            <val>上市電機機械</val>
          </value>
        </values>
      </ddeItem>
      <ddeItem name="1558.TW-ID" advise="1">
        <values>
          <value t="str">
            <val>1558</val>
          </value>
        </values>
      </ddeItem>
      <ddeItem name="1558.TW-InOutRatioNumber" advise="1">
        <values>
          <value t="str">
            <val>11.11%</val>
          </value>
        </values>
      </ddeItem>
      <ddeItem name="1558.TW-Name" advise="1">
        <values>
          <value t="str">
            <val>伸興</val>
          </value>
        </values>
      </ddeItem>
      <ddeItem name="1558.TW-PreTotalVolumeRate" advise="1">
        <values>
          <value>
            <val>0.22</val>
          </value>
        </values>
      </ddeItem>
      <ddeItem name="1558.TW-Price" advise="1">
        <values>
          <value>
            <val>146.5</val>
          </value>
        </values>
      </ddeItem>
      <ddeItem name="1558.TW-PriceChangeRatio" advise="1">
        <values>
          <value>
            <val>0</val>
          </value>
        </values>
      </ddeItem>
      <ddeItem name="1558.TW-Time" advise="1">
        <values>
          <value t="str">
            <val>10:08:27</val>
          </value>
        </values>
      </ddeItem>
      <ddeItem name="1558.TW-VolumeRatio" advise="1">
        <values>
          <value>
            <val>0.73</val>
          </value>
        </values>
      </ddeItem>
      <ddeItem name="1560.TW-5DayAvgVol" advise="1">
        <values>
          <value>
            <val>869</val>
          </value>
        </values>
      </ddeItem>
      <ddeItem name="1560.TW-AvgPrice" advise="1">
        <values>
          <value>
            <val>70.37</val>
          </value>
        </values>
      </ddeItem>
      <ddeItem name="1560.TW-Capital" advise="1">
        <values>
          <value t="str">
            <val>14.18</val>
          </value>
        </values>
      </ddeItem>
      <ddeItem name="1560.TW-DLOrderValueDiffRatio" advise="1">
        <values>
          <value>
            <val>-3.79</val>
          </value>
        </values>
      </ddeItem>
      <ddeItem name="1560.TW-DXLOrderOutValueRatio" advise="1">
        <values>
          <value>
            <val>3.08</val>
          </value>
        </values>
      </ddeItem>
      <ddeItem name="1560.TW-DXLOrderValueDiffRatio" advise="1">
        <values>
          <value>
            <val>-3.2</val>
          </value>
        </values>
      </ddeItem>
      <ddeItem name="1560.TW-ExchangeIndustry" advise="1">
        <values>
          <value t="str">
            <val>上市電機機械</val>
          </value>
        </values>
      </ddeItem>
      <ddeItem name="1560.TW-ID" advise="1">
        <values>
          <value t="str">
            <val>1560</val>
          </value>
        </values>
      </ddeItem>
      <ddeItem name="1560.TW-InOutRatioNumber" advise="1">
        <values>
          <value t="str">
            <val>42.72%</val>
          </value>
        </values>
      </ddeItem>
      <ddeItem name="1560.TW-Name" advise="1">
        <values>
          <value t="str">
            <val>中砂</val>
          </value>
        </values>
      </ddeItem>
      <ddeItem name="1560.TW-PreTotalVolumeRate" advise="1">
        <values>
          <value>
            <val>0.4</val>
          </value>
        </values>
      </ddeItem>
      <ddeItem name="1560.TW-Price" advise="1">
        <values>
          <value>
            <val>70.2</val>
          </value>
        </values>
      </ddeItem>
      <ddeItem name="1560.TW-PriceChangeRatio" advise="1">
        <values>
          <value>
            <val>1.01</val>
          </value>
        </values>
      </ddeItem>
      <ddeItem name="1560.TW-Time" advise="1">
        <values>
          <value t="str">
            <val>10:13:55</val>
          </value>
        </values>
      </ddeItem>
      <ddeItem name="1560.TW-VolumeRatio" advise="1">
        <values>
          <value>
            <val>0.94</val>
          </value>
        </values>
      </ddeItem>
      <ddeItem name="1568.TW-5DayAvgVol" advise="1">
        <values>
          <value>
            <val>72</val>
          </value>
        </values>
      </ddeItem>
      <ddeItem name="1568.TW-AvgPrice" advise="1">
        <values>
          <value>
            <val>21.56</val>
          </value>
        </values>
      </ddeItem>
      <ddeItem name="1568.TW-Capital" advise="1">
        <values>
          <value t="str">
            <val>10.31</val>
          </value>
        </values>
      </ddeItem>
      <ddeItem name="1568.TW-DLOrderValueDiffRatio" advise="1">
        <values>
          <value>
            <val>0</val>
          </value>
        </values>
      </ddeItem>
      <ddeItem name="1568.TW-DXLOrderOutValueRatio" advise="1">
        <values>
          <value>
            <val>0</val>
          </value>
        </values>
      </ddeItem>
      <ddeItem name="1568.TW-DXLOrderValueDiffRatio" advise="1">
        <values>
          <value>
            <val>0</val>
          </value>
        </values>
      </ddeItem>
      <ddeItem name="1568.TW-ExchangeIndustry" advise="1">
        <values>
          <value t="str">
            <val>上市汽車</val>
          </value>
        </values>
      </ddeItem>
      <ddeItem name="1568.TW-ID" advise="1">
        <values>
          <value t="str">
            <val>1568</val>
          </value>
        </values>
      </ddeItem>
      <ddeItem name="1568.TW-InOutRatioNumber" advise="1">
        <values>
          <value t="str">
            <val>83.25%</val>
          </value>
        </values>
      </ddeItem>
      <ddeItem name="1568.TW-Name" advise="1">
        <values>
          <value t="str">
            <val>倉佑</val>
          </value>
        </values>
      </ddeItem>
      <ddeItem name="1568.TW-PreTotalVolumeRate" advise="1">
        <values>
          <value>
            <val>3.67</val>
          </value>
        </values>
      </ddeItem>
      <ddeItem name="1568.TW-Price" advise="1">
        <values>
          <value>
            <val>22.2</val>
          </value>
        </values>
      </ddeItem>
      <ddeItem name="1568.TW-PriceChangeRatio" advise="1">
        <values>
          <value>
            <val>8.0299999999999994</val>
          </value>
        </values>
      </ddeItem>
      <ddeItem name="1568.TW-Time" advise="1">
        <values>
          <value t="str">
            <val>10:15:19</val>
          </value>
        </values>
      </ddeItem>
      <ddeItem name="1568.TW-VolumeRatio" advise="1">
        <values>
          <value>
            <val>7.43</val>
          </value>
        </values>
      </ddeItem>
      <ddeItem name="1583.TW-5DayAvgVol" advise="1">
        <values>
          <value>
            <val>3</val>
          </value>
        </values>
      </ddeItem>
      <ddeItem name="1583.TW-AvgPrice" advise="1">
        <values>
          <value t="str">
            <val>--</val>
          </value>
        </values>
      </ddeItem>
      <ddeItem name="1583.TW-Capital" advise="1">
        <values>
          <value t="str">
            <val>11.04</val>
          </value>
        </values>
      </ddeItem>
      <ddeItem name="1583.TW-DLOrderValueDiffRatio" advise="1">
        <values>
          <value>
            <val>0</val>
          </value>
        </values>
      </ddeItem>
      <ddeItem name="1583.TW-DXLOrderOutValueRatio" advise="1">
        <values>
          <value>
            <val>0</val>
          </value>
        </values>
      </ddeItem>
      <ddeItem name="1583.TW-DXLOrderValueDiffRatio" advise="1">
        <values>
          <value>
            <val>0</val>
          </value>
        </values>
      </ddeItem>
      <ddeItem name="1583.TW-ExchangeIndustry" advise="1">
        <values>
          <value t="str">
            <val>上市電機機械</val>
          </value>
        </values>
      </ddeItem>
      <ddeItem name="1583.TW-ID" advise="1">
        <values>
          <value t="str">
            <val>1583</val>
          </value>
        </values>
      </ddeItem>
      <ddeItem name="1583.TW-InOutRatioNumber" advise="1">
        <values>
          <value t="str">
            <val>--</val>
          </value>
        </values>
      </ddeItem>
      <ddeItem name="1583.TW-Name" advise="1">
        <values>
          <value t="str">
            <val>程泰</val>
          </value>
        </values>
      </ddeItem>
      <ddeItem name="1583.TW-PreTotalVolumeRate" advise="1">
        <values>
          <value t="str">
            <val>--</val>
          </value>
        </values>
      </ddeItem>
      <ddeItem name="1583.TW-Price" advise="1">
        <values>
          <value t="str">
            <val>--</val>
          </value>
        </values>
      </ddeItem>
      <ddeItem name="1583.TW-PriceChangeRatio" advise="1">
        <values>
          <value t="str">
            <val>--</val>
          </value>
        </values>
      </ddeItem>
      <ddeItem name="1583.TW-Time" advise="1">
        <values>
          <value t="str">
            <val>--</val>
          </value>
        </values>
      </ddeItem>
      <ddeItem name="1583.TW-VolumeRatio" advise="1">
        <values>
          <value>
            <val>0</val>
          </value>
        </values>
      </ddeItem>
      <ddeItem name="1587.TW-5DayAvgVol" advise="1">
        <values>
          <value>
            <val>208</val>
          </value>
        </values>
      </ddeItem>
      <ddeItem name="1587.TW-AvgPrice" advise="1">
        <values>
          <value>
            <val>25.77</val>
          </value>
        </values>
      </ddeItem>
      <ddeItem name="1587.TW-Capital" advise="1">
        <values>
          <value t="str">
            <val>6.86</val>
          </value>
        </values>
      </ddeItem>
      <ddeItem name="1587.TW-DLOrderValueDiffRatio" advise="1">
        <values>
          <value>
            <val>0</val>
          </value>
        </values>
      </ddeItem>
      <ddeItem name="1587.TW-DXLOrderOutValueRatio" advise="1">
        <values>
          <value>
            <val>0</val>
          </value>
        </values>
      </ddeItem>
      <ddeItem name="1587.TW-DXLOrderValueDiffRatio" advise="1">
        <values>
          <value>
            <val>0</val>
          </value>
        </values>
      </ddeItem>
      <ddeItem name="1587.TW-ExchangeIndustry" advise="1">
        <values>
          <value t="str">
            <val>上市汽車</val>
          </value>
        </values>
      </ddeItem>
      <ddeItem name="1587.TW-ID" advise="1">
        <values>
          <value t="str">
            <val>1587</val>
          </value>
        </values>
      </ddeItem>
      <ddeItem name="1587.TW-InOutRatioNumber" advise="1">
        <values>
          <value t="str">
            <val>75.00%</val>
          </value>
        </values>
      </ddeItem>
      <ddeItem name="1587.TW-Name" advise="1">
        <values>
          <value t="str">
            <val>吉茂</val>
          </value>
        </values>
      </ddeItem>
      <ddeItem name="1587.TW-PreTotalVolumeRate" advise="1">
        <values>
          <value>
            <val>0.2</val>
          </value>
        </values>
      </ddeItem>
      <ddeItem name="1587.TW-Price" advise="1">
        <values>
          <value>
            <val>25.8</val>
          </value>
        </values>
      </ddeItem>
      <ddeItem name="1587.TW-PriceChangeRatio" advise="1">
        <values>
          <value>
            <val>1.18</val>
          </value>
        </values>
      </ddeItem>
      <ddeItem name="1587.TW-Time" advise="1">
        <values>
          <value t="str">
            <val>10:10:09</val>
          </value>
        </values>
      </ddeItem>
      <ddeItem name="1587.TW-VolumeRatio" advise="1">
        <values>
          <value>
            <val>0.37</val>
          </value>
        </values>
      </ddeItem>
      <ddeItem name="1589.TW-5DayAvgVol" advise="1">
        <values>
          <value>
            <val>416</val>
          </value>
        </values>
      </ddeItem>
      <ddeItem name="1589.TW-AvgPrice" advise="1">
        <values>
          <value>
            <val>65.88</val>
          </value>
        </values>
      </ddeItem>
      <ddeItem name="1589.TW-Capital" advise="1">
        <values>
          <value t="str">
            <val>11.06</val>
          </value>
        </values>
      </ddeItem>
      <ddeItem name="1589.TW-DLOrderValueDiffRatio" advise="1">
        <values>
          <value>
            <val>0</val>
          </value>
        </values>
      </ddeItem>
      <ddeItem name="1589.TW-DXLOrderOutValueRatio" advise="1">
        <values>
          <value>
            <val>0</val>
          </value>
        </values>
      </ddeItem>
      <ddeItem name="1589.TW-DXLOrderValueDiffRatio" advise="1">
        <values>
          <value>
            <val>0</val>
          </value>
        </values>
      </ddeItem>
      <ddeItem name="1589.TW-ExchangeIndustry" advise="1">
        <values>
          <value t="str">
            <val>上市電機機械</val>
          </value>
        </values>
      </ddeItem>
      <ddeItem name="1589.TW-ID" advise="1">
        <values>
          <value t="str">
            <val>1589</val>
          </value>
        </values>
      </ddeItem>
      <ddeItem name="1589.TW-InOutRatioNumber" advise="1">
        <values>
          <value t="str">
            <val>29.11%</val>
          </value>
        </values>
      </ddeItem>
      <ddeItem name="1589.TW-Name" advise="1">
        <values>
          <value t="str">
            <val>永冠-KY</val>
          </value>
        </values>
      </ddeItem>
      <ddeItem name="1589.TW-PreTotalVolumeRate" advise="1">
        <values>
          <value>
            <val>0.3</val>
          </value>
        </values>
      </ddeItem>
      <ddeItem name="1589.TW-Price" advise="1">
        <values>
          <value>
            <val>65.8</val>
          </value>
        </values>
      </ddeItem>
      <ddeItem name="1589.TW-PriceChangeRatio" advise="1">
        <values>
          <value>
            <val>0.15</val>
          </value>
        </values>
      </ddeItem>
      <ddeItem name="1589.TW-Time" advise="1">
        <values>
          <value t="str">
            <val>10:15:13</val>
          </value>
        </values>
      </ddeItem>
      <ddeItem name="1589.TW-VolumeRatio" advise="1">
        <values>
          <value>
            <val>0.52</val>
          </value>
        </values>
      </ddeItem>
      <ddeItem name="1590.TW-5DayAvgVol" advise="1">
        <values>
          <value>
            <val>1012</val>
          </value>
        </values>
      </ddeItem>
      <ddeItem name="1590.TW-AvgPrice" advise="1">
        <values>
          <value>
            <val>857.3</val>
          </value>
        </values>
      </ddeItem>
      <ddeItem name="1590.TW-Capital" advise="1">
        <values>
          <value t="str">
            <val>20.00</val>
          </value>
        </values>
      </ddeItem>
      <ddeItem name="1590.TW-DLOrderValueDiffRatio" advise="1">
        <values>
          <value>
            <val>-5.5</val>
          </value>
        </values>
      </ddeItem>
      <ddeItem name="1590.TW-DXLOrderOutValueRatio" advise="1">
        <values>
          <value>
            <val>0</val>
          </value>
        </values>
      </ddeItem>
      <ddeItem name="1590.TW-DXLOrderValueDiffRatio" advise="1">
        <values>
          <value>
            <val>-9.06</val>
          </value>
        </values>
      </ddeItem>
      <ddeItem name="1590.TW-ExchangeIndustry" advise="1">
        <values>
          <value t="str">
            <val>上市電機機械</val>
          </value>
        </values>
      </ddeItem>
      <ddeItem name="1590.TW-ID" advise="1">
        <values>
          <value t="str">
            <val>1590</val>
          </value>
        </values>
      </ddeItem>
      <ddeItem name="1590.TW-InOutRatioNumber" advise="1">
        <values>
          <value t="str">
            <val>44.19%</val>
          </value>
        </values>
      </ddeItem>
      <ddeItem name="1590.TW-Name" advise="1">
        <values>
          <value t="str">
            <val>亞德客-KY</val>
          </value>
        </values>
      </ddeItem>
      <ddeItem name="1590.TW-PreTotalVolumeRate" advise="1">
        <values>
          <value>
            <val>0.5</val>
          </value>
        </values>
      </ddeItem>
      <ddeItem name="1590.TW-Price" advise="1">
        <values>
          <value>
            <val>857</val>
          </value>
        </values>
      </ddeItem>
      <ddeItem name="1590.TW-PriceChangeRatio" advise="1">
        <values>
          <value>
            <val>1.42</val>
          </value>
        </values>
      </ddeItem>
      <ddeItem name="1590.TW-Time" advise="1">
        <values>
          <value t="str">
            <val>10:14:39</val>
          </value>
        </values>
      </ddeItem>
      <ddeItem name="1590.TW-VolumeRatio" advise="1">
        <values>
          <value>
            <val>1.01</val>
          </value>
        </values>
      </ddeItem>
      <ddeItem name="1597.TW-5DayAvgVol" advise="1">
        <values>
          <value>
            <val>146</val>
          </value>
        </values>
      </ddeItem>
      <ddeItem name="1597.TW-AvgPrice" advise="1">
        <values>
          <value>
            <val>85.06</val>
          </value>
        </values>
      </ddeItem>
      <ddeItem name="1597.TW-Capital" advise="1">
        <values>
          <value t="str">
            <val>8.12</val>
          </value>
        </values>
      </ddeItem>
      <ddeItem name="1597.TW-DLOrderValueDiffRatio" advise="1">
        <values>
          <value>
            <val>0</val>
          </value>
        </values>
      </ddeItem>
      <ddeItem name="1597.TW-DXLOrderOutValueRatio" advise="1">
        <values>
          <value>
            <val>0</val>
          </value>
        </values>
      </ddeItem>
      <ddeItem name="1597.TW-DXLOrderValueDiffRatio" advise="1">
        <values>
          <value>
            <val>0</val>
          </value>
        </values>
      </ddeItem>
      <ddeItem name="1597.TW-ExchangeIndustry" advise="1">
        <values>
          <value t="str">
            <val>上市電機機械</val>
          </value>
        </values>
      </ddeItem>
      <ddeItem name="1597.TW-ID" advise="1">
        <values>
          <value t="str">
            <val>1597</val>
          </value>
        </values>
      </ddeItem>
      <ddeItem name="1597.TW-InOutRatioNumber" advise="1">
        <values>
          <value t="str">
            <val>31.25%</val>
          </value>
        </values>
      </ddeItem>
      <ddeItem name="1597.TW-Name" advise="1">
        <values>
          <value t="str">
            <val>直得</val>
          </value>
        </values>
      </ddeItem>
      <ddeItem name="1597.TW-PreTotalVolumeRate" advise="1">
        <values>
          <value>
            <val>0.17</val>
          </value>
        </values>
      </ddeItem>
      <ddeItem name="1597.TW-Price" advise="1">
        <values>
          <value>
            <val>85.2</val>
          </value>
        </values>
      </ddeItem>
      <ddeItem name="1597.TW-PriceChangeRatio" advise="1">
        <values>
          <value>
            <val>0.35</val>
          </value>
        </values>
      </ddeItem>
      <ddeItem name="1597.TW-Time" advise="1">
        <values>
          <value t="str">
            <val>10:09:56</val>
          </value>
        </values>
      </ddeItem>
      <ddeItem name="1597.TW-VolumeRatio" advise="1">
        <values>
          <value>
            <val>0.45</val>
          </value>
        </values>
      </ddeItem>
      <ddeItem name="1598.TW-5DayAvgVol" advise="1">
        <values>
          <value>
            <val>355</val>
          </value>
        </values>
      </ddeItem>
      <ddeItem name="1598.TW-AvgPrice" advise="1">
        <values>
          <value>
            <val>60.38</val>
          </value>
        </values>
      </ddeItem>
      <ddeItem name="1598.TW-Capital" advise="1">
        <values>
          <value t="str">
            <val>13.47</val>
          </value>
        </values>
      </ddeItem>
      <ddeItem name="1598.TW-DLOrderValueDiffRatio" advise="1">
        <values>
          <value>
            <val>0</val>
          </value>
        </values>
      </ddeItem>
      <ddeItem name="1598.TW-DXLOrderOutValueRatio" advise="1">
        <values>
          <value>
            <val>0</val>
          </value>
        </values>
      </ddeItem>
      <ddeItem name="1598.TW-DXLOrderValueDiffRatio" advise="1">
        <values>
          <value>
            <val>0</val>
          </value>
        </values>
      </ddeItem>
      <ddeItem name="1598.TW-ExchangeIndustry" advise="1">
        <values>
          <value t="str">
            <val>上市化學生技醫療,上市生技醫療</val>
          </value>
        </values>
      </ddeItem>
      <ddeItem name="1598.TW-ID" advise="1">
        <values>
          <value t="str">
            <val>1598</val>
          </value>
        </values>
      </ddeItem>
      <ddeItem name="1598.TW-InOutRatioNumber" advise="1">
        <values>
          <value t="str">
            <val>32.50%</val>
          </value>
        </values>
      </ddeItem>
      <ddeItem name="1598.TW-Name" advise="1">
        <values>
          <value t="str">
            <val>岱宇</val>
          </value>
        </values>
      </ddeItem>
      <ddeItem name="1598.TW-PreTotalVolumeRate" advise="1">
        <values>
          <value>
            <val>0.13</val>
          </value>
        </values>
      </ddeItem>
      <ddeItem name="1598.TW-Price" advise="1">
        <values>
          <value>
            <val>60.3</val>
          </value>
        </values>
      </ddeItem>
      <ddeItem name="1598.TW-PriceChangeRatio" advise="1">
        <values>
          <value>
            <val>-0.33</val>
          </value>
        </values>
      </ddeItem>
      <ddeItem name="1598.TW-Time" advise="1">
        <values>
          <value t="str">
            <val>10:13:19</val>
          </value>
        </values>
      </ddeItem>
      <ddeItem name="1598.TW-VolumeRatio" advise="1">
        <values>
          <value>
            <val>0.27</val>
          </value>
        </values>
      </ddeItem>
      <ddeItem name="1603.TW-5DayAvgVol" advise="1">
        <values>
          <value>
            <val>176</val>
          </value>
        </values>
      </ddeItem>
      <ddeItem name="1603.TW-AvgPrice" advise="1">
        <values>
          <value>
            <val>27.44</val>
          </value>
        </values>
      </ddeItem>
      <ddeItem name="1603.TW-Capital" advise="1">
        <values>
          <value t="str">
            <val>19.17</val>
          </value>
        </values>
      </ddeItem>
      <ddeItem name="1603.TW-DLOrderValueDiffRatio" advise="1">
        <values>
          <value>
            <val>-7.01</val>
          </value>
        </values>
      </ddeItem>
      <ddeItem name="1603.TW-DXLOrderOutValueRatio" advise="1">
        <values>
          <value>
            <val>14.36</val>
          </value>
        </values>
      </ddeItem>
      <ddeItem name="1603.TW-DXLOrderValueDiffRatio" advise="1">
        <values>
          <value>
            <val>14.36</val>
          </value>
        </values>
      </ddeItem>
      <ddeItem name="1603.TW-ExchangeIndustry" advise="1">
        <values>
          <value t="str">
            <val>上市電器電纜</val>
          </value>
        </values>
      </ddeItem>
      <ddeItem name="1603.TW-ID" advise="1">
        <values>
          <value t="str">
            <val>1603</val>
          </value>
        </values>
      </ddeItem>
      <ddeItem name="1603.TW-InOutRatioNumber" advise="1">
        <values>
          <value t="str">
            <val>50.79%</val>
          </value>
        </values>
      </ddeItem>
      <ddeItem name="1603.TW-Name" advise="1">
        <values>
          <value t="str">
            <val>華電</val>
          </value>
        </values>
      </ddeItem>
      <ddeItem name="1603.TW-PreTotalVolumeRate" advise="1">
        <values>
          <value>
            <val>0.91</val>
          </value>
        </values>
      </ddeItem>
      <ddeItem name="1603.TW-Price" advise="1">
        <values>
          <value>
            <val>26.6</val>
          </value>
        </values>
      </ddeItem>
      <ddeItem name="1603.TW-PriceChangeRatio" advise="1">
        <values>
          <value>
            <val>0</val>
          </value>
        </values>
      </ddeItem>
      <ddeItem name="1603.TW-Time" advise="1">
        <values>
          <value t="str">
            <val>10:10:12</val>
          </value>
        </values>
      </ddeItem>
      <ddeItem name="1603.TW-VolumeRatio" advise="1">
        <values>
          <value>
            <val>2.39</val>
          </value>
        </values>
      </ddeItem>
      <ddeItem name="1604.TW-5DayAvgVol" advise="1">
        <values>
          <value>
            <val>1192</val>
          </value>
        </values>
      </ddeItem>
      <ddeItem name="1604.TW-AvgPrice" advise="1">
        <values>
          <value>
            <val>29.83</val>
          </value>
        </values>
      </ddeItem>
      <ddeItem name="1604.TW-Capital" advise="1">
        <values>
          <value t="str">
            <val>38.72</val>
          </value>
        </values>
      </ddeItem>
      <ddeItem name="1604.TW-DLOrderValueDiffRatio" advise="1">
        <values>
          <value>
            <val>-0.51</val>
          </value>
        </values>
      </ddeItem>
      <ddeItem name="1604.TW-DXLOrderOutValueRatio" advise="1">
        <values>
          <value>
            <val>0</val>
          </value>
        </values>
      </ddeItem>
      <ddeItem name="1604.TW-DXLOrderValueDiffRatio" advise="1">
        <values>
          <value>
            <val>0</val>
          </value>
        </values>
      </ddeItem>
      <ddeItem name="1604.TW-ExchangeIndustry" advise="1">
        <values>
          <value t="str">
            <val>上市電器電纜</val>
          </value>
        </values>
      </ddeItem>
      <ddeItem name="1604.TW-ID" advise="1">
        <values>
          <value t="str">
            <val>1604</val>
          </value>
        </values>
      </ddeItem>
      <ddeItem name="1604.TW-InOutRatioNumber" advise="1">
        <values>
          <value t="str">
            <val>28.41%</val>
          </value>
        </values>
      </ddeItem>
      <ddeItem name="1604.TW-Name" advise="1">
        <values>
          <value t="str">
            <val>聲寶</val>
          </value>
        </values>
      </ddeItem>
      <ddeItem name="1604.TW-PreTotalVolumeRate" advise="1">
        <values>
          <value>
            <val>0.2</val>
          </value>
        </values>
      </ddeItem>
      <ddeItem name="1604.TW-Price" advise="1">
        <values>
          <value>
            <val>29.75</val>
          </value>
        </values>
      </ddeItem>
      <ddeItem name="1604.TW-PriceChangeRatio" advise="1">
        <values>
          <value>
            <val>0.17</val>
          </value>
        </values>
      </ddeItem>
      <ddeItem name="1604.TW-Time" advise="1">
        <values>
          <value t="str">
            <val>10:14:21</val>
          </value>
        </values>
      </ddeItem>
      <ddeItem name="1604.TW-VolumeRatio" advise="1">
        <values>
          <value>
            <val>0.55000000000000004</val>
          </value>
        </values>
      </ddeItem>
      <ddeItem name="1605.TW-5DayAvgVol" advise="1">
        <values>
          <value>
            <val>16118</val>
          </value>
        </values>
      </ddeItem>
      <ddeItem name="1605.TW-AvgPrice" advise="1">
        <values>
          <value>
            <val>25.87</val>
          </value>
        </values>
      </ddeItem>
      <ddeItem name="1605.TW-Capital" advise="1">
        <values>
          <value t="str">
            <val>343.13</val>
          </value>
        </values>
      </ddeItem>
      <ddeItem name="1605.TW-DLOrderValueDiffRatio" advise="1">
        <values>
          <value>
            <val>0.42</val>
          </value>
        </values>
      </ddeItem>
      <ddeItem name="1605.TW-DXLOrderOutValueRatio" advise="1">
        <values>
          <value>
            <val>28.91</val>
          </value>
        </values>
      </ddeItem>
      <ddeItem name="1605.TW-DXLOrderValueDiffRatio" advise="1">
        <values>
          <value>
            <val>9.6999999999999993</val>
          </value>
        </values>
      </ddeItem>
      <ddeItem name="1605.TW-ExchangeIndustry" advise="1">
        <values>
          <value t="str">
            <val>上市電器電纜</val>
          </value>
        </values>
      </ddeItem>
      <ddeItem name="1605.TW-ID" advise="1">
        <values>
          <value t="str">
            <val>1605</val>
          </value>
        </values>
      </ddeItem>
      <ddeItem name="1605.TW-InOutRatioNumber" advise="1">
        <values>
          <value t="str">
            <val>52.94%</val>
          </value>
        </values>
      </ddeItem>
      <ddeItem name="1605.TW-Name" advise="1">
        <values>
          <value t="str">
            <val>華新</val>
          </value>
        </values>
      </ddeItem>
      <ddeItem name="1605.TW-PreTotalVolumeRate" advise="1">
        <values>
          <value>
            <val>0.43</val>
          </value>
        </values>
      </ddeItem>
      <ddeItem name="1605.TW-Price" advise="1">
        <values>
          <value>
            <val>26.1</val>
          </value>
        </values>
      </ddeItem>
      <ddeItem name="1605.TW-PriceChangeRatio" advise="1">
        <values>
          <value>
            <val>3.57</val>
          </value>
        </values>
      </ddeItem>
      <ddeItem name="1605.TW-Time" advise="1">
        <values>
          <value t="str">
            <val>10:15:13</val>
          </value>
        </values>
      </ddeItem>
      <ddeItem name="1605.TW-VolumeRatio" advise="1">
        <values>
          <value>
            <val>0.86</val>
          </value>
        </values>
      </ddeItem>
      <ddeItem name="1608.TW-5DayAvgVol" advise="1">
        <values>
          <value>
            <val>9727</val>
          </value>
        </values>
      </ddeItem>
      <ddeItem name="1608.TW-AvgPrice" advise="1">
        <values>
          <value>
            <val>23.64</val>
          </value>
        </values>
      </ddeItem>
      <ddeItem name="1608.TW-Capital" advise="1">
        <values>
          <value t="str">
            <val>63.28</val>
          </value>
        </values>
      </ddeItem>
      <ddeItem name="1608.TW-DLOrderValueDiffRatio" advise="1">
        <values>
          <value>
            <val>-0.99</val>
          </value>
        </values>
      </ddeItem>
      <ddeItem name="1608.TW-DXLOrderOutValueRatio" advise="1">
        <values>
          <value>
            <val>16.989999999999998</val>
          </value>
        </values>
      </ddeItem>
      <ddeItem name="1608.TW-DXLOrderValueDiffRatio" advise="1">
        <values>
          <value>
            <val>1.44</val>
          </value>
        </values>
      </ddeItem>
      <ddeItem name="1608.TW-ExchangeIndustry" advise="1">
        <values>
          <value t="str">
            <val>上市電器電纜</val>
          </value>
        </values>
      </ddeItem>
      <ddeItem name="1608.TW-ID" advise="1">
        <values>
          <value t="str">
            <val>1608</val>
          </value>
        </values>
      </ddeItem>
      <ddeItem name="1608.TW-InOutRatioNumber" advise="1">
        <values>
          <value t="str">
            <val>47.72%</val>
          </value>
        </values>
      </ddeItem>
      <ddeItem name="1608.TW-Name" advise="1">
        <values>
          <value t="str">
            <val>華榮</val>
          </value>
        </values>
      </ddeItem>
      <ddeItem name="1608.TW-PreTotalVolumeRate" advise="1">
        <values>
          <value>
            <val>0.36</val>
          </value>
        </values>
      </ddeItem>
      <ddeItem name="1608.TW-Price" advise="1">
        <values>
          <value>
            <val>23.3</val>
          </value>
        </values>
      </ddeItem>
      <ddeItem name="1608.TW-PriceChangeRatio" advise="1">
        <values>
          <value>
            <val>-2.92</val>
          </value>
        </values>
      </ddeItem>
      <ddeItem name="1608.TW-Time" advise="1">
        <values>
          <value t="str">
            <val>10:15:19</val>
          </value>
        </values>
      </ddeItem>
      <ddeItem name="1608.TW-VolumeRatio" advise="1">
        <values>
          <value>
            <val>0.68</val>
          </value>
        </values>
      </ddeItem>
      <ddeItem name="1609.TW-5DayAvgVol" advise="1">
        <values>
          <value>
            <val>6005</val>
          </value>
        </values>
      </ddeItem>
      <ddeItem name="1609.TW-AvgPrice" advise="1">
        <values>
          <value>
            <val>25.64</val>
          </value>
        </values>
      </ddeItem>
      <ddeItem name="1609.TW-Capital" advise="1">
        <values>
          <value t="str">
            <val>64.59</val>
          </value>
        </values>
      </ddeItem>
      <ddeItem name="1609.TW-DLOrderValueDiffRatio" advise="1">
        <values>
          <value>
            <val>-2.27</val>
          </value>
        </values>
      </ddeItem>
      <ddeItem name="1609.TW-DXLOrderOutValueRatio" advise="1">
        <values>
          <value>
            <val>7.31</val>
          </value>
        </values>
      </ddeItem>
      <ddeItem name="1609.TW-DXLOrderValueDiffRatio" advise="1">
        <values>
          <value>
            <val>-0.24</val>
          </value>
        </values>
      </ddeItem>
      <ddeItem name="1609.TW-ExchangeIndustry" advise="1">
        <values>
          <value t="str">
            <val>上市電器電纜</val>
          </value>
        </values>
      </ddeItem>
      <ddeItem name="1609.TW-ID" advise="1">
        <values>
          <value t="str">
            <val>1609</val>
          </value>
        </values>
      </ddeItem>
      <ddeItem name="1609.TW-InOutRatioNumber" advise="1">
        <values>
          <value t="str">
            <val>47.89%</val>
          </value>
        </values>
      </ddeItem>
      <ddeItem name="1609.TW-Name" advise="1">
        <values>
          <value t="str">
            <val>大亞</val>
          </value>
        </values>
      </ddeItem>
      <ddeItem name="1609.TW-PreTotalVolumeRate" advise="1">
        <values>
          <value>
            <val>0.28000000000000003</val>
          </value>
        </values>
      </ddeItem>
      <ddeItem name="1609.TW-Price" advise="1">
        <values>
          <value>
            <val>25.45</val>
          </value>
        </values>
      </ddeItem>
      <ddeItem name="1609.TW-PriceChangeRatio" advise="1">
        <values>
          <value>
            <val>0.59</val>
          </value>
        </values>
      </ddeItem>
      <ddeItem name="1609.TW-Time" advise="1">
        <values>
          <value t="str">
            <val>10:14:50</val>
          </value>
        </values>
      </ddeItem>
      <ddeItem name="1609.TW-VolumeRatio" advise="1">
        <values>
          <value>
            <val>0.6</val>
          </value>
        </values>
      </ddeItem>
      <ddeItem name="1611.TW-5DayAvgVol" advise="1">
        <values>
          <value>
            <val>325</val>
          </value>
        </values>
      </ddeItem>
      <ddeItem name="1611.TW-AvgPrice" advise="1">
        <values>
          <value>
            <val>10.11</val>
          </value>
        </values>
      </ddeItem>
      <ddeItem name="1611.TW-Capital" advise="1">
        <values>
          <value t="str">
            <val>32.27</val>
          </value>
        </values>
      </ddeItem>
      <ddeItem name="1611.TW-DLOrderValueDiffRatio" advise="1">
        <values>
          <value>
            <val>0</val>
          </value>
        </values>
      </ddeItem>
      <ddeItem name="1611.TW-DXLOrderOutValueRatio" advise="1">
        <values>
          <value>
            <val>0</val>
          </value>
        </values>
      </ddeItem>
      <ddeItem name="1611.TW-DXLOrderValueDiffRatio" advise="1">
        <values>
          <value>
            <val>0</val>
          </value>
        </values>
      </ddeItem>
      <ddeItem name="1611.TW-ExchangeIndustry" advise="1">
        <values>
          <value t="str">
            <val>上市電器電纜</val>
          </value>
        </values>
      </ddeItem>
      <ddeItem name="1611.TW-ID" advise="1">
        <values>
          <value t="str">
            <val>1611</val>
          </value>
        </values>
      </ddeItem>
      <ddeItem name="1611.TW-InOutRatioNumber" advise="1">
        <values>
          <value t="str">
            <val>46.15%</val>
          </value>
        </values>
      </ddeItem>
      <ddeItem name="1611.TW-Name" advise="1">
        <values>
          <value t="str">
            <val>中電</val>
          </value>
        </values>
      </ddeItem>
      <ddeItem name="1611.TW-PreTotalVolumeRate" advise="1">
        <values>
          <value>
            <val>0.08</val>
          </value>
        </values>
      </ddeItem>
      <ddeItem name="1611.TW-Price" advise="1">
        <values>
          <value>
            <val>10.15</val>
          </value>
        </values>
      </ddeItem>
      <ddeItem name="1611.TW-PriceChangeRatio" advise="1">
        <values>
          <value>
            <val>1</val>
          </value>
        </values>
      </ddeItem>
      <ddeItem name="1611.TW-Time" advise="1">
        <values>
          <value t="str">
            <val>10:03:24</val>
          </value>
        </values>
      </ddeItem>
      <ddeItem name="1611.TW-VolumeRatio" advise="1">
        <values>
          <value>
            <val>0.26</val>
          </value>
        </values>
      </ddeItem>
      <ddeItem name="1612.TW-5DayAvgVol" advise="1">
        <values>
          <value>
            <val>2235</val>
          </value>
        </values>
      </ddeItem>
      <ddeItem name="1612.TW-AvgPrice" advise="1">
        <values>
          <value>
            <val>24.65</val>
          </value>
        </values>
      </ddeItem>
      <ddeItem name="1612.TW-Capital" advise="1">
        <values>
          <value t="str">
            <val>31.61</val>
          </value>
        </values>
      </ddeItem>
      <ddeItem name="1612.TW-DLOrderValueDiffRatio" advise="1">
        <values>
          <value>
            <val>11.01</val>
          </value>
        </values>
      </ddeItem>
      <ddeItem name="1612.TW-DXLOrderOutValueRatio" advise="1">
        <values>
          <value>
            <val>17.61</val>
          </value>
        </values>
      </ddeItem>
      <ddeItem name="1612.TW-DXLOrderValueDiffRatio" advise="1">
        <values>
          <value>
            <val>14.04</val>
          </value>
        </values>
      </ddeItem>
      <ddeItem name="1612.TW-ExchangeIndustry" advise="1">
        <values>
          <value t="str">
            <val>上市電器電纜</val>
          </value>
        </values>
      </ddeItem>
      <ddeItem name="1612.TW-ID" advise="1">
        <values>
          <value t="str">
            <val>1612</val>
          </value>
        </values>
      </ddeItem>
      <ddeItem name="1612.TW-InOutRatioNumber" advise="1">
        <values>
          <value t="str">
            <val>66.26%</val>
          </value>
        </values>
      </ddeItem>
      <ddeItem name="1612.TW-Name" advise="1">
        <values>
          <value t="str">
            <val>宏泰</val>
          </value>
        </values>
      </ddeItem>
      <ddeItem name="1612.TW-PreTotalVolumeRate" advise="1">
        <values>
          <value>
            <val>0.5</val>
          </value>
        </values>
      </ddeItem>
      <ddeItem name="1612.TW-Price" advise="1">
        <values>
          <value>
            <val>24.95</val>
          </value>
        </values>
      </ddeItem>
      <ddeItem name="1612.TW-PriceChangeRatio" advise="1">
        <values>
          <value>
            <val>3.53</val>
          </value>
        </values>
      </ddeItem>
      <ddeItem name="1612.TW-Time" advise="1">
        <values>
          <value t="str">
            <val>10:15:14</val>
          </value>
        </values>
      </ddeItem>
      <ddeItem name="1612.TW-VolumeRatio" advise="1">
        <values>
          <value>
            <val>1.05</val>
          </value>
        </values>
      </ddeItem>
      <ddeItem name="1614.TW-5DayAvgVol" advise="1">
        <values>
          <value>
            <val>46</val>
          </value>
        </values>
      </ddeItem>
      <ddeItem name="1614.TW-AvgPrice" advise="1">
        <values>
          <value>
            <val>34.26</val>
          </value>
        </values>
      </ddeItem>
      <ddeItem name="1614.TW-Capital" advise="1">
        <values>
          <value t="str">
            <val>26.91</val>
          </value>
        </values>
      </ddeItem>
      <ddeItem name="1614.TW-DLOrderValueDiffRatio" advise="1">
        <values>
          <value>
            <val>0</val>
          </value>
        </values>
      </ddeItem>
      <ddeItem name="1614.TW-DXLOrderOutValueRatio" advise="1">
        <values>
          <value>
            <val>0</val>
          </value>
        </values>
      </ddeItem>
      <ddeItem name="1614.TW-DXLOrderValueDiffRatio" advise="1">
        <values>
          <value>
            <val>0</val>
          </value>
        </values>
      </ddeItem>
      <ddeItem name="1614.TW-ExchangeIndustry" advise="1">
        <values>
          <value t="str">
            <val>上市電器電纜</val>
          </value>
        </values>
      </ddeItem>
      <ddeItem name="1614.TW-ID" advise="1">
        <values>
          <value t="str">
            <val>1614</val>
          </value>
        </values>
      </ddeItem>
      <ddeItem name="1614.TW-InOutRatioNumber" advise="1">
        <values>
          <value t="str">
            <val>33.33%</val>
          </value>
        </values>
      </ddeItem>
      <ddeItem name="1614.TW-Name" advise="1">
        <values>
          <value t="str">
            <val>三洋電</val>
          </value>
        </values>
      </ddeItem>
      <ddeItem name="1614.TW-PreTotalVolumeRate" advise="1">
        <values>
          <value>
            <val>1.06</val>
          </value>
        </values>
      </ddeItem>
      <ddeItem name="1614.TW-Price" advise="1">
        <values>
          <value>
            <val>34.200000000000003</val>
          </value>
        </values>
      </ddeItem>
      <ddeItem name="1614.TW-PriceChangeRatio" advise="1">
        <values>
          <value>
            <val>0.15</val>
          </value>
        </values>
      </ddeItem>
      <ddeItem name="1614.TW-Time" advise="1">
        <values>
          <value t="str">
            <val>10:06:17</val>
          </value>
        </values>
      </ddeItem>
      <ddeItem name="1614.TW-VolumeRatio" advise="1">
        <values>
          <value>
            <val>3.44</val>
          </value>
        </values>
      </ddeItem>
      <ddeItem name="1615.TW-5DayAvgVol" advise="1">
        <values>
          <value>
            <val>104</val>
          </value>
        </values>
      </ddeItem>
      <ddeItem name="1615.TW-AvgPrice" advise="1">
        <values>
          <value>
            <val>34.01</val>
          </value>
        </values>
      </ddeItem>
      <ddeItem name="1615.TW-Capital" advise="1">
        <values>
          <value t="str">
            <val>13.78</val>
          </value>
        </values>
      </ddeItem>
      <ddeItem name="1615.TW-DLOrderValueDiffRatio" advise="1">
        <values>
          <value>
            <val>0</val>
          </value>
        </values>
      </ddeItem>
      <ddeItem name="1615.TW-DXLOrderOutValueRatio" advise="1">
        <values>
          <value>
            <val>0</val>
          </value>
        </values>
      </ddeItem>
      <ddeItem name="1615.TW-DXLOrderValueDiffRatio" advise="1">
        <values>
          <value>
            <val>0</val>
          </value>
        </values>
      </ddeItem>
      <ddeItem name="1615.TW-ExchangeIndustry" advise="1">
        <values>
          <value t="str">
            <val>上市電器電纜</val>
          </value>
        </values>
      </ddeItem>
      <ddeItem name="1615.TW-ID" advise="1">
        <values>
          <value t="str">
            <val>1615</val>
          </value>
        </values>
      </ddeItem>
      <ddeItem name="1615.TW-InOutRatioNumber" advise="1">
        <values>
          <value t="str">
            <val>62.86%</val>
          </value>
        </values>
      </ddeItem>
      <ddeItem name="1615.TW-Name" advise="1">
        <values>
          <value t="str">
            <val>大山</val>
          </value>
        </values>
      </ddeItem>
      <ddeItem name="1615.TW-PreTotalVolumeRate" advise="1">
        <values>
          <value>
            <val>0.26</val>
          </value>
        </values>
      </ddeItem>
      <ddeItem name="1615.TW-Price" advise="1">
        <values>
          <value>
            <val>33.9</val>
          </value>
        </values>
      </ddeItem>
      <ddeItem name="1615.TW-PriceChangeRatio" advise="1">
        <values>
          <value>
            <val>1.35</val>
          </value>
        </values>
      </ddeItem>
      <ddeItem name="1615.TW-Time" advise="1">
        <values>
          <value t="str">
            <val>10:12:51</val>
          </value>
        </values>
      </ddeItem>
      <ddeItem name="1615.TW-VolumeRatio" advise="1">
        <values>
          <value>
            <val>0.6</val>
          </value>
        </values>
      </ddeItem>
      <ddeItem name="1616.TW-5DayAvgVol" advise="1">
        <values>
          <value>
            <val>307</val>
          </value>
        </values>
      </ddeItem>
      <ddeItem name="1616.TW-AvgPrice" advise="1">
        <values>
          <value>
            <val>8.3699999999999992</val>
          </value>
        </values>
      </ddeItem>
      <ddeItem name="1616.TW-Capital" advise="1">
        <values>
          <value t="str">
            <val>19.41</val>
          </value>
        </values>
      </ddeItem>
      <ddeItem name="1616.TW-DLOrderValueDiffRatio" advise="1">
        <values>
          <value>
            <val>0</val>
          </value>
        </values>
      </ddeItem>
      <ddeItem name="1616.TW-DXLOrderOutValueRatio" advise="1">
        <values>
          <value>
            <val>0</val>
          </value>
        </values>
      </ddeItem>
      <ddeItem name="1616.TW-DXLOrderValueDiffRatio" advise="1">
        <values>
          <value>
            <val>0</val>
          </value>
        </values>
      </ddeItem>
      <ddeItem name="1616.TW-ExchangeIndustry" advise="1">
        <values>
          <value t="str">
            <val>上市電器電纜</val>
          </value>
        </values>
      </ddeItem>
      <ddeItem name="1616.TW-ID" advise="1">
        <values>
          <value t="str">
            <val>1616</val>
          </value>
        </values>
      </ddeItem>
      <ddeItem name="1616.TW-InOutRatioNumber" advise="1">
        <values>
          <value t="str">
            <val>43.75%</val>
          </value>
        </values>
      </ddeItem>
      <ddeItem name="1616.TW-Name" advise="1">
        <values>
          <value t="str">
            <val>億泰</val>
          </value>
        </values>
      </ddeItem>
      <ddeItem name="1616.TW-PreTotalVolumeRate" advise="1">
        <values>
          <value>
            <val>0.25</val>
          </value>
        </values>
      </ddeItem>
      <ddeItem name="1616.TW-Price" advise="1">
        <values>
          <value>
            <val>8.25</val>
          </value>
        </values>
      </ddeItem>
      <ddeItem name="1616.TW-PriceChangeRatio" advise="1">
        <values>
          <value>
            <val>-1.2</val>
          </value>
        </values>
      </ddeItem>
      <ddeItem name="1616.TW-Time" advise="1">
        <values>
          <value t="str">
            <val>10:12:51</val>
          </value>
        </values>
      </ddeItem>
      <ddeItem name="1616.TW-VolumeRatio" advise="1">
        <values>
          <value>
            <val>0.59</val>
          </value>
        </values>
      </ddeItem>
      <ddeItem name="1617.TW-5DayAvgVol" advise="1">
        <values>
          <value>
            <val>115</val>
          </value>
        </values>
      </ddeItem>
      <ddeItem name="1617.TW-AvgPrice" advise="1">
        <values>
          <value>
            <val>16.84</val>
          </value>
        </values>
      </ddeItem>
      <ddeItem name="1617.TW-Capital" advise="1">
        <values>
          <value t="str">
            <val>14.42</val>
          </value>
        </values>
      </ddeItem>
      <ddeItem name="1617.TW-DLOrderValueDiffRatio" advise="1">
        <values>
          <value>
            <val>0</val>
          </value>
        </values>
      </ddeItem>
      <ddeItem name="1617.TW-DXLOrderOutValueRatio" advise="1">
        <values>
          <value>
            <val>0</val>
          </value>
        </values>
      </ddeItem>
      <ddeItem name="1617.TW-DXLOrderValueDiffRatio" advise="1">
        <values>
          <value>
            <val>0</val>
          </value>
        </values>
      </ddeItem>
      <ddeItem name="1617.TW-ExchangeIndustry" advise="1">
        <values>
          <value t="str">
            <val>上市電器電纜</val>
          </value>
        </values>
      </ddeItem>
      <ddeItem name="1617.TW-ID" advise="1">
        <values>
          <value t="str">
            <val>1617</val>
          </value>
        </values>
      </ddeItem>
      <ddeItem name="1617.TW-InOutRatioNumber" advise="1">
        <values>
          <value t="str">
            <val>27.14%</val>
          </value>
        </values>
      </ddeItem>
      <ddeItem name="1617.TW-Name" advise="1">
        <values>
          <value t="str">
            <val>榮星</val>
          </value>
        </values>
      </ddeItem>
      <ddeItem name="1617.TW-PreTotalVolumeRate" advise="1">
        <values>
          <value>
            <val>0.23</val>
          </value>
        </values>
      </ddeItem>
      <ddeItem name="1617.TW-Price" advise="1">
        <values>
          <value>
            <val>16.7</val>
          </value>
        </values>
      </ddeItem>
      <ddeItem name="1617.TW-PriceChangeRatio" advise="1">
        <values>
          <value>
            <val>0.3</val>
          </value>
        </values>
      </ddeItem>
      <ddeItem name="1617.TW-Time" advise="1">
        <values>
          <value t="str">
            <val>10:14:31</val>
          </value>
        </values>
      </ddeItem>
      <ddeItem name="1617.TW-VolumeRatio" advise="1">
        <values>
          <value>
            <val>1.39</val>
          </value>
        </values>
      </ddeItem>
      <ddeItem name="1626.TW-5DayAvgVol" advise="1">
        <values>
          <value>
            <val>63</val>
          </value>
        </values>
      </ddeItem>
      <ddeItem name="1626.TW-AvgPrice" advise="1">
        <values>
          <value>
            <val>20.11</val>
          </value>
        </values>
      </ddeItem>
      <ddeItem name="1626.TW-Capital" advise="1">
        <values>
          <value t="str">
            <val>14.55</val>
          </value>
        </values>
      </ddeItem>
      <ddeItem name="1626.TW-DLOrderValueDiffRatio" advise="1">
        <values>
          <value>
            <val>0</val>
          </value>
        </values>
      </ddeItem>
      <ddeItem name="1626.TW-DXLOrderOutValueRatio" advise="1">
        <values>
          <value>
            <val>0</val>
          </value>
        </values>
      </ddeItem>
      <ddeItem name="1626.TW-DXLOrderValueDiffRatio" advise="1">
        <values>
          <value>
            <val>0</val>
          </value>
        </values>
      </ddeItem>
      <ddeItem name="1626.TW-ExchangeIndustry" advise="1">
        <values>
          <value t="str">
            <val>上市電器電纜</val>
          </value>
        </values>
      </ddeItem>
      <ddeItem name="1626.TW-ID" advise="1">
        <values>
          <value t="str">
            <val>1626</val>
          </value>
        </values>
      </ddeItem>
      <ddeItem name="1626.TW-InOutRatioNumber" advise="1">
        <values>
          <value t="str">
            <val>30.00%</val>
          </value>
        </values>
      </ddeItem>
      <ddeItem name="1626.TW-Name" advise="1">
        <values>
          <value t="str">
            <val>艾美特-KY</val>
          </value>
        </values>
      </ddeItem>
      <ddeItem name="1626.TW-PreTotalVolumeRate" advise="1">
        <values>
          <value>
            <val>0.32</val>
          </value>
        </values>
      </ddeItem>
      <ddeItem name="1626.TW-Price" advise="1">
        <values>
          <value>
            <val>20.05</val>
          </value>
        </values>
      </ddeItem>
      <ddeItem name="1626.TW-PriceChangeRatio" advise="1">
        <values>
          <value>
            <val>-0.74</val>
          </value>
        </values>
      </ddeItem>
      <ddeItem name="1626.TW-Time" advise="1">
        <values>
          <value t="str">
            <val>09:58:28</val>
          </value>
        </values>
      </ddeItem>
      <ddeItem name="1626.TW-VolumeRatio" advise="1">
        <values>
          <value>
            <val>1.1100000000000001</val>
          </value>
        </values>
      </ddeItem>
      <ddeItem name="1701.TW-5DayAvgVol" advise="1">
        <values>
          <value>
            <val>631</val>
          </value>
        </values>
      </ddeItem>
      <ddeItem name="1701.TW-AvgPrice" advise="1">
        <values>
          <value>
            <val>21.65</val>
          </value>
        </values>
      </ddeItem>
      <ddeItem name="1701.TW-Capital" advise="1">
        <values>
          <value t="str">
            <val>29.81</val>
          </value>
        </values>
      </ddeItem>
      <ddeItem name="1701.TW-DLOrderValueDiffRatio" advise="1">
        <values>
          <value>
            <val>0</val>
          </value>
        </values>
      </ddeItem>
      <ddeItem name="1701.TW-DXLOrderOutValueRatio" advise="1">
        <values>
          <value>
            <val>0</val>
          </value>
        </values>
      </ddeItem>
      <ddeItem name="1701.TW-DXLOrderValueDiffRatio" advise="1">
        <values>
          <value>
            <val>0</val>
          </value>
        </values>
      </ddeItem>
      <ddeItem name="1701.TW-ExchangeIndustry" advise="1">
        <values>
          <value t="str">
            <val>上市化學生技醫療,上市生技醫療</val>
          </value>
        </values>
      </ddeItem>
      <ddeItem name="1701.TW-ID" advise="1">
        <values>
          <value t="str">
            <val>1701</val>
          </value>
        </values>
      </ddeItem>
      <ddeItem name="1701.TW-InOutRatioNumber" advise="1">
        <values>
          <value t="str">
            <val>30.14%</val>
          </value>
        </values>
      </ddeItem>
      <ddeItem name="1701.TW-Name" advise="1">
        <values>
          <value t="str">
            <val>中化</val>
          </value>
        </values>
      </ddeItem>
      <ddeItem name="1701.TW-PreTotalVolumeRate" advise="1">
        <values>
          <value>
            <val>0.22</val>
          </value>
        </values>
      </ddeItem>
      <ddeItem name="1701.TW-Price" advise="1">
        <values>
          <value>
            <val>21.6</val>
          </value>
        </values>
      </ddeItem>
      <ddeItem name="1701.TW-PriceChangeRatio" advise="1">
        <values>
          <value>
            <val>0.23</val>
          </value>
        </values>
      </ddeItem>
      <ddeItem name="1701.TW-Time" advise="1">
        <values>
          <value t="str">
            <val>10:14:46</val>
          </value>
        </values>
      </ddeItem>
      <ddeItem name="1701.TW-VolumeRatio" advise="1">
        <values>
          <value>
            <val>0.46</val>
          </value>
        </values>
      </ddeItem>
      <ddeItem name="1702.TW-5DayAvgVol" advise="1">
        <values>
          <value>
            <val>462</val>
          </value>
        </values>
      </ddeItem>
      <ddeItem name="1702.TW-AvgPrice" advise="1">
        <values>
          <value>
            <val>49.87</val>
          </value>
        </values>
      </ddeItem>
      <ddeItem name="1702.TW-Capital" advise="1">
        <values>
          <value t="str">
            <val>29.41</val>
          </value>
        </values>
      </ddeItem>
      <ddeItem name="1702.TW-DLOrderValueDiffRatio" advise="1">
        <values>
          <value>
            <val>19.100000000000001</val>
          </value>
        </values>
      </ddeItem>
      <ddeItem name="1702.TW-DXLOrderOutValueRatio" advise="1">
        <values>
          <value>
            <val>0</val>
          </value>
        </values>
      </ddeItem>
      <ddeItem name="1702.TW-DXLOrderValueDiffRatio" advise="1">
        <values>
          <value>
            <val>0</val>
          </value>
        </values>
      </ddeItem>
      <ddeItem name="1702.TW-ExchangeIndustry" advise="1">
        <values>
          <value t="str">
            <val>上市食品</val>
          </value>
        </values>
      </ddeItem>
      <ddeItem name="1702.TW-ID" advise="1">
        <values>
          <value t="str">
            <val>1702</val>
          </value>
        </values>
      </ddeItem>
      <ddeItem name="1702.TW-InOutRatioNumber" advise="1">
        <values>
          <value t="str">
            <val>63.27%</val>
          </value>
        </values>
      </ddeItem>
      <ddeItem name="1702.TW-Name" advise="1">
        <values>
          <value t="str">
            <val>南僑</val>
          </value>
        </values>
      </ddeItem>
      <ddeItem name="1702.TW-PreTotalVolumeRate" advise="1">
        <values>
          <value>
            <val>0.28000000000000003</val>
          </value>
        </values>
      </ddeItem>
      <ddeItem name="1702.TW-Price" advise="1">
        <values>
          <value>
            <val>49.95</val>
          </value>
        </values>
      </ddeItem>
      <ddeItem name="1702.TW-PriceChangeRatio" advise="1">
        <values>
          <value>
            <val>0.2</val>
          </value>
        </values>
      </ddeItem>
      <ddeItem name="1702.TW-Time" advise="1">
        <values>
          <value t="str">
            <val>10:09:30</val>
          </value>
        </values>
      </ddeItem>
      <ddeItem name="1702.TW-VolumeRatio" advise="1">
        <values>
          <value>
            <val>0.68</val>
          </value>
        </values>
      </ddeItem>
      <ddeItem name="1707.TW-5DayAvgVol" advise="1">
        <values>
          <value>
            <val>58</val>
          </value>
        </values>
      </ddeItem>
      <ddeItem name="1707.TW-AvgPrice" advise="1">
        <values>
          <value>
            <val>160</val>
          </value>
        </values>
      </ddeItem>
      <ddeItem name="1707.TW-Capital" advise="1">
        <values>
          <value t="str">
            <val>14.81</val>
          </value>
        </values>
      </ddeItem>
      <ddeItem name="1707.TW-DLOrderValueDiffRatio" advise="1">
        <values>
          <value>
            <val>0</val>
          </value>
        </values>
      </ddeItem>
      <ddeItem name="1707.TW-DXLOrderOutValueRatio" advise="1">
        <values>
          <value>
            <val>0</val>
          </value>
        </values>
      </ddeItem>
      <ddeItem name="1707.TW-DXLOrderValueDiffRatio" advise="1">
        <values>
          <value>
            <val>0</val>
          </value>
        </values>
      </ddeItem>
      <ddeItem name="1707.TW-ExchangeIndustry" advise="1">
        <values>
          <value t="str">
            <val>上市化學生技醫療,上市生技醫療</val>
          </value>
        </values>
      </ddeItem>
      <ddeItem name="1707.TW-ID" advise="1">
        <values>
          <value t="str">
            <val>1707</val>
          </value>
        </values>
      </ddeItem>
      <ddeItem name="1707.TW-InOutRatioNumber" advise="1">
        <values>
          <value t="str">
            <val>0.00%</val>
          </value>
        </values>
      </ddeItem>
      <ddeItem name="1707.TW-Name" advise="1">
        <values>
          <value t="str">
            <val>葡萄王</val>
          </value>
        </values>
      </ddeItem>
      <ddeItem name="1707.TW-PreTotalVolumeRate" advise="1">
        <values>
          <value>
            <val>0.23</val>
          </value>
        </values>
      </ddeItem>
      <ddeItem name="1707.TW-Price" advise="1">
        <values>
          <value>
            <val>160</val>
          </value>
        </values>
      </ddeItem>
      <ddeItem name="1707.TW-PriceChangeRatio" advise="1">
        <values>
          <value>
            <val>0</val>
          </value>
        </values>
      </ddeItem>
      <ddeItem name="1707.TW-Time" advise="1">
        <values>
          <value t="str">
            <val>10:10:59</val>
          </value>
        </values>
      </ddeItem>
      <ddeItem name="1707.TW-VolumeRatio" advise="1">
        <values>
          <value>
            <val>0</val>
          </value>
        </values>
      </ddeItem>
      <ddeItem name="1708.TW-5DayAvgVol" advise="1">
        <values>
          <value>
            <val>3533</val>
          </value>
        </values>
      </ddeItem>
      <ddeItem name="1708.TW-AvgPrice" advise="1">
        <values>
          <value>
            <val>30.76</val>
          </value>
        </values>
      </ddeItem>
      <ddeItem name="1708.TW-Capital" advise="1">
        <values>
          <value t="str">
            <val>24.90</val>
          </value>
        </values>
      </ddeItem>
      <ddeItem name="1708.TW-DLOrderValueDiffRatio" advise="1">
        <values>
          <value>
            <val>-9.7899999999999991</val>
          </value>
        </values>
      </ddeItem>
      <ddeItem name="1708.TW-DXLOrderOutValueRatio" advise="1">
        <values>
          <value>
            <val>4.97</val>
          </value>
        </values>
      </ddeItem>
      <ddeItem name="1708.TW-DXLOrderValueDiffRatio" advise="1">
        <values>
          <value>
            <val>4.97</val>
          </value>
        </values>
      </ddeItem>
      <ddeItem name="1708.TW-ExchangeIndustry" advise="1">
        <values>
          <value t="str">
            <val>上市化學生技醫療,上市化工</val>
          </value>
        </values>
      </ddeItem>
      <ddeItem name="1708.TW-ID" advise="1">
        <values>
          <value t="str">
            <val>1708</val>
          </value>
        </values>
      </ddeItem>
      <ddeItem name="1708.TW-InOutRatioNumber" advise="1">
        <values>
          <value t="str">
            <val>40.60%</val>
          </value>
        </values>
      </ddeItem>
      <ddeItem name="1708.TW-Name" advise="1">
        <values>
          <value t="str">
            <val>東鹼</val>
          </value>
        </values>
      </ddeItem>
      <ddeItem name="1708.TW-PreTotalVolumeRate" advise="1">
        <values>
          <value>
            <val>0.59</val>
          </value>
        </values>
      </ddeItem>
      <ddeItem name="1708.TW-Price" advise="1">
        <values>
          <value>
            <val>30.95</val>
          </value>
        </values>
      </ddeItem>
      <ddeItem name="1708.TW-PriceChangeRatio" advise="1">
        <values>
          <value>
            <val>-0.64</val>
          </value>
        </values>
      </ddeItem>
      <ddeItem name="1708.TW-Time" advise="1">
        <values>
          <value t="str">
            <val>10:14:43</val>
          </value>
        </values>
      </ddeItem>
      <ddeItem name="1708.TW-VolumeRatio" advise="1">
        <values>
          <value>
            <val>1.0900000000000001</val>
          </value>
        </values>
      </ddeItem>
      <ddeItem name="1709.TW-5DayAvgVol" advise="1">
        <values>
          <value>
            <val>17008</val>
          </value>
        </values>
      </ddeItem>
      <ddeItem name="1709.TW-AvgPrice" advise="1">
        <values>
          <value>
            <val>20.34</val>
          </value>
        </values>
      </ddeItem>
      <ddeItem name="1709.TW-Capital" advise="1">
        <values>
          <value t="str">
            <val>47.70</val>
          </value>
        </values>
      </ddeItem>
      <ddeItem name="1709.TW-DLOrderValueDiffRatio" advise="1">
        <values>
          <value>
            <val>5.28</val>
          </value>
        </values>
      </ddeItem>
      <ddeItem name="1709.TW-DXLOrderOutValueRatio" advise="1">
        <values>
          <value>
            <val>5.91</val>
          </value>
        </values>
      </ddeItem>
      <ddeItem name="1709.TW-DXLOrderValueDiffRatio" advise="1">
        <values>
          <value>
            <val>-1.03</val>
          </value>
        </values>
      </ddeItem>
      <ddeItem name="1709.TW-ExchangeIndustry" advise="1">
        <values>
          <value t="str">
            <val>上市化學生技醫療,上市化工</val>
          </value>
        </values>
      </ddeItem>
      <ddeItem name="1709.TW-ID" advise="1">
        <values>
          <value t="str">
            <val>1709</val>
          </value>
        </values>
      </ddeItem>
      <ddeItem name="1709.TW-InOutRatioNumber" advise="1">
        <values>
          <value t="str">
            <val>57.52%</val>
          </value>
        </values>
      </ddeItem>
      <ddeItem name="1709.TW-Name" advise="1">
        <values>
          <value t="str">
            <val>和益</val>
          </value>
        </values>
      </ddeItem>
      <ddeItem name="1709.TW-PreTotalVolumeRate" advise="1">
        <values>
          <value>
            <val>0.23</val>
          </value>
        </values>
      </ddeItem>
      <ddeItem name="1709.TW-Price" advise="1">
        <values>
          <value>
            <val>20.55</val>
          </value>
        </values>
      </ddeItem>
      <ddeItem name="1709.TW-PriceChangeRatio" advise="1">
        <values>
          <value>
            <val>0.74</val>
          </value>
        </values>
      </ddeItem>
      <ddeItem name="1709.TW-Time" advise="1">
        <values>
          <value t="str">
            <val>10:15:17</val>
          </value>
        </values>
      </ddeItem>
      <ddeItem name="1709.TW-VolumeRatio" advise="1">
        <values>
          <value>
            <val>0.42</val>
          </value>
        </values>
      </ddeItem>
      <ddeItem name="1710.TW-5DayAvgVol" advise="1">
        <values>
          <value>
            <val>29142</val>
          </value>
        </values>
      </ddeItem>
      <ddeItem name="1710.TW-AvgPrice" advise="1">
        <values>
          <value>
            <val>23.67</val>
          </value>
        </values>
      </ddeItem>
      <ddeItem name="1710.TW-Capital" advise="1">
        <values>
          <value t="str">
            <val>88.57</val>
          </value>
        </values>
      </ddeItem>
      <ddeItem name="1710.TW-DLOrderValueDiffRatio" advise="1">
        <values>
          <value>
            <val>4.28</val>
          </value>
        </values>
      </ddeItem>
      <ddeItem name="1710.TW-DXLOrderOutValueRatio" advise="1">
        <values>
          <value>
            <val>37.79</val>
          </value>
        </values>
      </ddeItem>
      <ddeItem name="1710.TW-DXLOrderValueDiffRatio" advise="1">
        <values>
          <value>
            <val>29.66</val>
          </value>
        </values>
      </ddeItem>
      <ddeItem name="1710.TW-ExchangeIndustry" advise="1">
        <values>
          <value t="str">
            <val>上市化學生技醫療,上市化工</val>
          </value>
        </values>
      </ddeItem>
      <ddeItem name="1710.TW-ID" advise="1">
        <values>
          <value t="str">
            <val>1710</val>
          </value>
        </values>
      </ddeItem>
      <ddeItem name="1710.TW-InOutRatioNumber" advise="1">
        <values>
          <value t="str">
            <val>70.73%</val>
          </value>
        </values>
      </ddeItem>
      <ddeItem name="1710.TW-Name" advise="1">
        <values>
          <value t="str">
            <val>東聯</val>
          </value>
        </values>
      </ddeItem>
      <ddeItem name="1710.TW-PreTotalVolumeRate" advise="1">
        <values>
          <value>
            <val>3.85</val>
          </value>
        </values>
      </ddeItem>
      <ddeItem name="1710.TW-Price" advise="1">
        <values>
          <value>
            <val>24.15</val>
          </value>
        </values>
      </ddeItem>
      <ddeItem name="1710.TW-PriceChangeRatio" advise="1">
        <values>
          <value>
            <val>8.3000000000000007</val>
          </value>
        </values>
      </ddeItem>
      <ddeItem name="1710.TW-Time" advise="1">
        <values>
          <value t="str">
            <val>10:15:18</val>
          </value>
        </values>
      </ddeItem>
      <ddeItem name="1710.TW-VolumeRatio" advise="1">
        <values>
          <value>
            <val>7.33</val>
          </value>
        </values>
      </ddeItem>
      <ddeItem name="1711.TW-5DayAvgVol" advise="1">
        <values>
          <value>
            <val>148630</val>
          </value>
        </values>
      </ddeItem>
      <ddeItem name="1711.TW-AvgPrice" advise="1">
        <values>
          <value>
            <val>26.91</val>
          </value>
        </values>
      </ddeItem>
      <ddeItem name="1711.TW-Capital" advise="1">
        <values>
          <value t="str">
            <val>54.78</val>
          </value>
        </values>
      </ddeItem>
      <ddeItem name="1711.TW-DLOrderValueDiffRatio" advise="1">
        <values>
          <value>
            <val>1.72</val>
          </value>
        </values>
      </ddeItem>
      <ddeItem name="1711.TW-DXLOrderOutValueRatio" advise="1">
        <values>
          <value>
            <val>25.32</val>
          </value>
        </values>
      </ddeItem>
      <ddeItem name="1711.TW-DXLOrderValueDiffRatio" advise="1">
        <values>
          <value>
            <val>5.33</val>
          </value>
        </values>
      </ddeItem>
      <ddeItem name="1711.TW-ExchangeIndustry" advise="1">
        <values>
          <value t="str">
            <val>上市化學生技醫療,上市化工</val>
          </value>
        </values>
      </ddeItem>
      <ddeItem name="1711.TW-ID" advise="1">
        <values>
          <value t="str">
            <val>1711</val>
          </value>
        </values>
      </ddeItem>
      <ddeItem name="1711.TW-InOutRatioNumber" advise="1">
        <values>
          <value t="str">
            <val>57.37%</val>
          </value>
        </values>
      </ddeItem>
      <ddeItem name="1711.TW-Name" advise="1">
        <values>
          <value t="str">
            <val>永光</val>
          </value>
        </values>
      </ddeItem>
      <ddeItem name="1711.TW-PreTotalVolumeRate" advise="1">
        <values>
          <value>
            <val>0.61</val>
          </value>
        </values>
      </ddeItem>
      <ddeItem name="1711.TW-Price" advise="1">
        <values>
          <value>
            <val>27.3</val>
          </value>
        </values>
      </ddeItem>
      <ddeItem name="1711.TW-PriceChangeRatio" advise="1">
        <values>
          <value>
            <val>3.02</val>
          </value>
        </values>
      </ddeItem>
      <ddeItem name="1711.TW-Time" advise="1">
        <values>
          <value t="str">
            <val>10:15:19</val>
          </value>
        </values>
      </ddeItem>
      <ddeItem name="1711.TW-VolumeRatio" advise="1">
        <values>
          <value>
            <val>1.1499999999999999</val>
          </value>
        </values>
      </ddeItem>
      <ddeItem name="1712.TW-5DayAvgVol" advise="1">
        <values>
          <value>
            <val>1980</val>
          </value>
        </values>
      </ddeItem>
      <ddeItem name="1712.TW-AvgPrice" advise="1">
        <values>
          <value>
            <val>24.1</val>
          </value>
        </values>
      </ddeItem>
      <ddeItem name="1712.TW-Capital" advise="1">
        <values>
          <value t="str">
            <val>42.05</val>
          </value>
        </values>
      </ddeItem>
      <ddeItem name="1712.TW-DLOrderValueDiffRatio" advise="1">
        <values>
          <value>
            <val>-0.16</val>
          </value>
        </values>
      </ddeItem>
      <ddeItem name="1712.TW-DXLOrderOutValueRatio" advise="1">
        <values>
          <value>
            <val>6.26</val>
          </value>
        </values>
      </ddeItem>
      <ddeItem name="1712.TW-DXLOrderValueDiffRatio" advise="1">
        <values>
          <value>
            <val>6.26</val>
          </value>
        </values>
      </ddeItem>
      <ddeItem name="1712.TW-ExchangeIndustry" advise="1">
        <values>
          <value t="str">
            <val>上市化學生技醫療,上市化工</val>
          </value>
        </values>
      </ddeItem>
      <ddeItem name="1712.TW-ID" advise="1">
        <values>
          <value t="str">
            <val>1712</val>
          </value>
        </values>
      </ddeItem>
      <ddeItem name="1712.TW-InOutRatioNumber" advise="1">
        <values>
          <value t="str">
            <val>60.96%</val>
          </value>
        </values>
      </ddeItem>
      <ddeItem name="1712.TW-Name" advise="1">
        <values>
          <value t="str">
            <val>興農</val>
          </value>
        </values>
      </ddeItem>
      <ddeItem name="1712.TW-PreTotalVolumeRate" advise="1">
        <values>
          <value>
            <val>0.5</val>
          </value>
        </values>
      </ddeItem>
      <ddeItem name="1712.TW-Price" advise="1">
        <values>
          <value>
            <val>24.25</val>
          </value>
        </values>
      </ddeItem>
      <ddeItem name="1712.TW-PriceChangeRatio" advise="1">
        <values>
          <value>
            <val>1.04</val>
          </value>
        </values>
      </ddeItem>
      <ddeItem name="1712.TW-Time" advise="1">
        <values>
          <value t="str">
            <val>10:14:37</val>
          </value>
        </values>
      </ddeItem>
      <ddeItem name="1712.TW-VolumeRatio" advise="1">
        <values>
          <value>
            <val>1.1200000000000001</val>
          </value>
        </values>
      </ddeItem>
      <ddeItem name="1713.TW-5DayAvgVol" advise="1">
        <values>
          <value>
            <val>788</val>
          </value>
        </values>
      </ddeItem>
      <ddeItem name="1713.TW-AvgPrice" advise="1">
        <values>
          <value>
            <val>24.63</val>
          </value>
        </values>
      </ddeItem>
      <ddeItem name="1713.TW-Capital" advise="1">
        <values>
          <value t="str">
            <val>15.10</val>
          </value>
        </values>
      </ddeItem>
      <ddeItem name="1713.TW-DLOrderValueDiffRatio" advise="1">
        <values>
          <value>
            <val>0</val>
          </value>
        </values>
      </ddeItem>
      <ddeItem name="1713.TW-DXLOrderOutValueRatio" advise="1">
        <values>
          <value>
            <val>0</val>
          </value>
        </values>
      </ddeItem>
      <ddeItem name="1713.TW-DXLOrderValueDiffRatio" advise="1">
        <values>
          <value>
            <val>-33.369999999999997</val>
          </value>
        </values>
      </ddeItem>
      <ddeItem name="1713.TW-ExchangeIndustry" advise="1">
        <values>
          <value t="str">
            <val>上市化學生技醫療,上市化工</val>
          </value>
        </values>
      </ddeItem>
      <ddeItem name="1713.TW-ID" advise="1">
        <values>
          <value t="str">
            <val>1713</val>
          </value>
        </values>
      </ddeItem>
      <ddeItem name="1713.TW-InOutRatioNumber" advise="1">
        <values>
          <value t="str">
            <val>27.37%</val>
          </value>
        </values>
      </ddeItem>
      <ddeItem name="1713.TW-Name" advise="1">
        <values>
          <value t="str">
            <val>國化</val>
          </value>
        </values>
      </ddeItem>
      <ddeItem name="1713.TW-PreTotalVolumeRate" advise="1">
        <values>
          <value>
            <val>0.27</val>
          </value>
        </values>
      </ddeItem>
      <ddeItem name="1713.TW-Price" advise="1">
        <values>
          <value>
            <val>24.85</val>
          </value>
        </values>
      </ddeItem>
      <ddeItem name="1713.TW-PriceChangeRatio" advise="1">
        <values>
          <value>
            <val>0.4</val>
          </value>
        </values>
      </ddeItem>
      <ddeItem name="1713.TW-Time" advise="1">
        <values>
          <value t="str">
            <val>10:10:15</val>
          </value>
        </values>
      </ddeItem>
      <ddeItem name="1713.TW-VolumeRatio" advise="1">
        <values>
          <value>
            <val>0.36</val>
          </value>
        </values>
      </ddeItem>
      <ddeItem name="1714.TW-5DayAvgVol" advise="1">
        <values>
          <value>
            <val>10455</val>
          </value>
        </values>
      </ddeItem>
      <ddeItem name="1714.TW-AvgPrice" advise="1">
        <values>
          <value>
            <val>10.64</val>
          </value>
        </values>
      </ddeItem>
      <ddeItem name="1714.TW-Capital" advise="1">
        <values>
          <value t="str">
            <val>101.68</val>
          </value>
        </values>
      </ddeItem>
      <ddeItem name="1714.TW-DLOrderValueDiffRatio" advise="1">
        <values>
          <value>
            <val>0.2</val>
          </value>
        </values>
      </ddeItem>
      <ddeItem name="1714.TW-DXLOrderOutValueRatio" advise="1">
        <values>
          <value>
            <val>23.7</val>
          </value>
        </values>
      </ddeItem>
      <ddeItem name="1714.TW-DXLOrderValueDiffRatio" advise="1">
        <values>
          <value>
            <val>15.92</val>
          </value>
        </values>
      </ddeItem>
      <ddeItem name="1714.TW-ExchangeIndustry" advise="1">
        <values>
          <value t="str">
            <val>上市化學生技醫療,上市化工</val>
          </value>
        </values>
      </ddeItem>
      <ddeItem name="1714.TW-ID" advise="1">
        <values>
          <value t="str">
            <val>1714</val>
          </value>
        </values>
      </ddeItem>
      <ddeItem name="1714.TW-InOutRatioNumber" advise="1">
        <values>
          <value t="str">
            <val>71.74%</val>
          </value>
        </values>
      </ddeItem>
      <ddeItem name="1714.TW-Name" advise="1">
        <values>
          <value t="str">
            <val>和桐</val>
          </value>
        </values>
      </ddeItem>
      <ddeItem name="1714.TW-PreTotalVolumeRate" advise="1">
        <values>
          <value>
            <val>0.51</val>
          </value>
        </values>
      </ddeItem>
      <ddeItem name="1714.TW-Price" advise="1">
        <values>
          <value>
            <val>10.7</val>
          </value>
        </values>
      </ddeItem>
      <ddeItem name="1714.TW-PriceChangeRatio" advise="1">
        <values>
          <value>
            <val>2.88</val>
          </value>
        </values>
      </ddeItem>
      <ddeItem name="1714.TW-Time" advise="1">
        <values>
          <value t="str">
            <val>10:15:09</val>
          </value>
        </values>
      </ddeItem>
      <ddeItem name="1714.TW-VolumeRatio" advise="1">
        <values>
          <value>
            <val>0.86</val>
          </value>
        </values>
      </ddeItem>
      <ddeItem name="1717.TW-5DayAvgVol" advise="1">
        <values>
          <value>
            <val>2796</val>
          </value>
        </values>
      </ddeItem>
      <ddeItem name="1717.TW-AvgPrice" advise="1">
        <values>
          <value>
            <val>37.799999999999997</val>
          </value>
        </values>
      </ddeItem>
      <ddeItem name="1717.TW-Capital" advise="1">
        <values>
          <value t="str">
            <val>124.03</val>
          </value>
        </values>
      </ddeItem>
      <ddeItem name="1717.TW-DLOrderValueDiffRatio" advise="1">
        <values>
          <value>
            <val>0.01</val>
          </value>
        </values>
      </ddeItem>
      <ddeItem name="1717.TW-DXLOrderOutValueRatio" advise="1">
        <values>
          <value>
            <val>19.260000000000002</val>
          </value>
        </values>
      </ddeItem>
      <ddeItem name="1717.TW-DXLOrderValueDiffRatio" advise="1">
        <values>
          <value>
            <val>6.71</val>
          </value>
        </values>
      </ddeItem>
      <ddeItem name="1717.TW-ExchangeIndustry" advise="1">
        <values>
          <value t="str">
            <val>上市化學生技醫療,上市化工</val>
          </value>
        </values>
      </ddeItem>
      <ddeItem name="1717.TW-ID" advise="1">
        <values>
          <value t="str">
            <val>1717</val>
          </value>
        </values>
      </ddeItem>
      <ddeItem name="1717.TW-InOutRatioNumber" advise="1">
        <values>
          <value t="str">
            <val>59.76%</val>
          </value>
        </values>
      </ddeItem>
      <ddeItem name="1717.TW-Name" advise="1">
        <values>
          <value t="str">
            <val>長興</val>
          </value>
        </values>
      </ddeItem>
      <ddeItem name="1717.TW-PreTotalVolumeRate" advise="1">
        <values>
          <value>
            <val>3.19</val>
          </value>
        </values>
      </ddeItem>
      <ddeItem name="1717.TW-Price" advise="1">
        <values>
          <value>
            <val>37.950000000000003</val>
          </value>
        </values>
      </ddeItem>
      <ddeItem name="1717.TW-PriceChangeRatio" advise="1">
        <values>
          <value>
            <val>3.55</val>
          </value>
        </values>
      </ddeItem>
      <ddeItem name="1717.TW-Time" advise="1">
        <values>
          <value t="str">
            <val>10:15:18</val>
          </value>
        </values>
      </ddeItem>
      <ddeItem name="1717.TW-VolumeRatio" advise="1">
        <values>
          <value>
            <val>7.49</val>
          </value>
        </values>
      </ddeItem>
      <ddeItem name="1718.TW-5DayAvgVol" advise="1">
        <values>
          <value>
            <val>10495</val>
          </value>
        </values>
      </ddeItem>
      <ddeItem name="1718.TW-AvgPrice" advise="1">
        <values>
          <value>
            <val>11.12</val>
          </value>
        </values>
      </ddeItem>
      <ddeItem name="1718.TW-Capital" advise="1">
        <values>
          <value t="str">
            <val>162.14</val>
          </value>
        </values>
      </ddeItem>
      <ddeItem name="1718.TW-DLOrderValueDiffRatio" advise="1">
        <values>
          <value>
            <val>4.7699999999999996</val>
          </value>
        </values>
      </ddeItem>
      <ddeItem name="1718.TW-DXLOrderOutValueRatio" advise="1">
        <values>
          <value>
            <val>55.65</val>
          </value>
        </values>
      </ddeItem>
      <ddeItem name="1718.TW-DXLOrderValueDiffRatio" advise="1">
        <values>
          <value>
            <val>47.63</val>
          </value>
        </values>
      </ddeItem>
      <ddeItem name="1718.TW-ExchangeIndustry" advise="1">
        <values>
          <value t="str">
            <val>上市化學生技醫療,上市化工</val>
          </value>
        </values>
      </ddeItem>
      <ddeItem name="1718.TW-ID" advise="1">
        <values>
          <value t="str">
            <val>1718</val>
          </value>
        </values>
      </ddeItem>
      <ddeItem name="1718.TW-InOutRatioNumber" advise="1">
        <values>
          <value t="str">
            <val>79.81%</val>
          </value>
        </values>
      </ddeItem>
      <ddeItem name="1718.TW-Name" advise="1">
        <values>
          <value t="str">
            <val>中纖</val>
          </value>
        </values>
      </ddeItem>
      <ddeItem name="1718.TW-PreTotalVolumeRate" advise="1">
        <values>
          <value>
            <val>13.27</val>
          </value>
        </values>
      </ddeItem>
      <ddeItem name="1718.TW-Price" advise="1">
        <values>
          <value>
            <val>11.25</val>
          </value>
        </values>
      </ddeItem>
      <ddeItem name="1718.TW-PriceChangeRatio" advise="1">
        <values>
          <value>
            <val>8.17</val>
          </value>
        </values>
      </ddeItem>
      <ddeItem name="1718.TW-Time" advise="1">
        <values>
          <value t="str">
            <val>10:15:19</val>
          </value>
        </values>
      </ddeItem>
      <ddeItem name="1718.TW-VolumeRatio" advise="1">
        <values>
          <value>
            <val>26.68</val>
          </value>
        </values>
      </ddeItem>
      <ddeItem name="1720.TW-5DayAvgVol" advise="1">
        <values>
          <value>
            <val>124</val>
          </value>
        </values>
      </ddeItem>
      <ddeItem name="1720.TW-AvgPrice" advise="1">
        <values>
          <value>
            <val>37.54</val>
          </value>
        </values>
      </ddeItem>
      <ddeItem name="1720.TW-Capital" advise="1">
        <values>
          <value t="str">
            <val>17.87</val>
          </value>
        </values>
      </ddeItem>
      <ddeItem name="1720.TW-DLOrderValueDiffRatio" advise="1">
        <values>
          <value>
            <val>0</val>
          </value>
        </values>
      </ddeItem>
      <ddeItem name="1720.TW-DXLOrderOutValueRatio" advise="1">
        <values>
          <value>
            <val>0</val>
          </value>
        </values>
      </ddeItem>
      <ddeItem name="1720.TW-DXLOrderValueDiffRatio" advise="1">
        <values>
          <value>
            <val>0</val>
          </value>
        </values>
      </ddeItem>
      <ddeItem name="1720.TW-ExchangeIndustry" advise="1">
        <values>
          <value t="str">
            <val>上市化學生技醫療,上市生技醫療</val>
          </value>
        </values>
      </ddeItem>
      <ddeItem name="1720.TW-ID" advise="1">
        <values>
          <value t="str">
            <val>1720</val>
          </value>
        </values>
      </ddeItem>
      <ddeItem name="1720.TW-InOutRatioNumber" advise="1">
        <values>
          <value t="str">
            <val>50.00%</val>
          </value>
        </values>
      </ddeItem>
      <ddeItem name="1720.TW-Name" advise="1">
        <values>
          <value t="str">
            <val>生達</val>
          </value>
        </values>
      </ddeItem>
      <ddeItem name="1720.TW-PreTotalVolumeRate" advise="1">
        <values>
          <value>
            <val>0.05</val>
          </value>
        </values>
      </ddeItem>
      <ddeItem name="1720.TW-Price" advise="1">
        <values>
          <value>
            <val>37.5</val>
          </value>
        </values>
      </ddeItem>
      <ddeItem name="1720.TW-PriceChangeRatio" advise="1">
        <values>
          <value>
            <val>0.13</val>
          </value>
        </values>
      </ddeItem>
      <ddeItem name="1720.TW-Time" advise="1">
        <values>
          <value t="str">
            <val>09:53:14</val>
          </value>
        </values>
      </ddeItem>
      <ddeItem name="1720.TW-VolumeRatio" advise="1">
        <values>
          <value>
            <val>0.17</val>
          </value>
        </values>
      </ddeItem>
      <ddeItem name="1721.TW-5DayAvgVol" advise="1">
        <values>
          <value>
            <val>34738</val>
          </value>
        </values>
      </ddeItem>
      <ddeItem name="1721.TW-AvgPrice" advise="1">
        <values>
          <value>
            <val>17.75</val>
          </value>
        </values>
      </ddeItem>
      <ddeItem name="1721.TW-Capital" advise="1">
        <values>
          <value t="str">
            <val>18.90</val>
          </value>
        </values>
      </ddeItem>
      <ddeItem name="1721.TW-DLOrderValueDiffRatio" advise="1">
        <values>
          <value>
            <val>0</val>
          </value>
        </values>
      </ddeItem>
      <ddeItem name="1721.TW-DXLOrderOutValueRatio" advise="1">
        <values>
          <value>
            <val>0</val>
          </value>
        </values>
      </ddeItem>
      <ddeItem name="1721.TW-DXLOrderValueDiffRatio" advise="1">
        <values>
          <value>
            <val>0</val>
          </value>
        </values>
      </ddeItem>
      <ddeItem name="1721.TW-ExchangeIndustry" advise="1">
        <values>
          <value t="str">
            <val>上市化學生技醫療,上市化工</val>
          </value>
        </values>
      </ddeItem>
      <ddeItem name="1721.TW-ID" advise="1">
        <values>
          <value t="str">
            <val>1721</val>
          </value>
        </values>
      </ddeItem>
      <ddeItem name="1721.TW-InOutRatioNumber" advise="1">
        <values>
          <value t="str">
            <val>85.21%</val>
          </value>
        </values>
      </ddeItem>
      <ddeItem name="1721.TW-Name" advise="1">
        <values>
          <value t="str">
            <val>三晃</val>
          </value>
        </values>
      </ddeItem>
      <ddeItem name="1721.TW-PreTotalVolumeRate" advise="1">
        <values>
          <value>
            <val>0.16</val>
          </value>
        </values>
      </ddeItem>
      <ddeItem name="1721.TW-Price" advise="1">
        <values>
          <value>
            <val>17.95</val>
          </value>
        </values>
      </ddeItem>
      <ddeItem name="1721.TW-PriceChangeRatio" advise="1">
        <values>
          <value>
            <val>8.4600000000000009</val>
          </value>
        </values>
      </ddeItem>
      <ddeItem name="1721.TW-Time" advise="1">
        <values>
          <value t="str">
            <val>10:15:04</val>
          </value>
        </values>
      </ddeItem>
      <ddeItem name="1721.TW-VolumeRatio" advise="1">
        <values>
          <value>
            <val>0.32</val>
          </value>
        </values>
      </ddeItem>
      <ddeItem name="1722.TW-5DayAvgVol" advise="1">
        <values>
          <value>
            <val>8675</val>
          </value>
        </values>
      </ddeItem>
      <ddeItem name="1722.TW-AvgPrice" advise="1">
        <values>
          <value>
            <val>67.45</val>
          </value>
        </values>
      </ddeItem>
      <ddeItem name="1722.TW-Capital" advise="1">
        <values>
          <value t="str">
            <val>98.00</val>
          </value>
        </values>
      </ddeItem>
      <ddeItem name="1722.TW-DLOrderValueDiffRatio" advise="1">
        <values>
          <value>
            <val>1.42</val>
          </value>
        </values>
      </ddeItem>
      <ddeItem name="1722.TW-DXLOrderOutValueRatio" advise="1">
        <values>
          <value>
            <val>7.25</val>
          </value>
        </values>
      </ddeItem>
      <ddeItem name="1722.TW-DXLOrderValueDiffRatio" advise="1">
        <values>
          <value>
            <val>-21.47</val>
          </value>
        </values>
      </ddeItem>
      <ddeItem name="1722.TW-ExchangeIndustry" advise="1">
        <values>
          <value t="str">
            <val>上市化學生技醫療,上市化工</val>
          </value>
        </values>
      </ddeItem>
      <ddeItem name="1722.TW-ID" advise="1">
        <values>
          <value t="str">
            <val>1722</val>
          </value>
        </values>
      </ddeItem>
      <ddeItem name="1722.TW-InOutRatioNumber" advise="1">
        <values>
          <value t="str">
            <val>34.06%</val>
          </value>
        </values>
      </ddeItem>
      <ddeItem name="1722.TW-Name" advise="1">
        <values>
          <value t="str">
            <val>台肥</val>
          </value>
        </values>
      </ddeItem>
      <ddeItem name="1722.TW-PreTotalVolumeRate" advise="1">
        <values>
          <value>
            <val>0.28000000000000003</val>
          </value>
        </values>
      </ddeItem>
      <ddeItem name="1722.TW-Price" advise="1">
        <values>
          <value>
            <val>67</val>
          </value>
        </values>
      </ddeItem>
      <ddeItem name="1722.TW-PriceChangeRatio" advise="1">
        <values>
          <value>
            <val>-0.74</val>
          </value>
        </values>
      </ddeItem>
      <ddeItem name="1722.TW-Time" advise="1">
        <values>
          <value t="str">
            <val>10:15:10</val>
          </value>
        </values>
      </ddeItem>
      <ddeItem name="1722.TW-VolumeRatio" advise="1">
        <values>
          <value>
            <val>0.54</val>
          </value>
        </values>
      </ddeItem>
      <ddeItem name="1723.TW-5DayAvgVol" advise="1">
        <values>
          <value>
            <val>2081</val>
          </value>
        </values>
      </ddeItem>
      <ddeItem name="1723.TW-AvgPrice" advise="1">
        <values>
          <value>
            <val>120.02</val>
          </value>
        </values>
      </ddeItem>
      <ddeItem name="1723.TW-Capital" advise="1">
        <values>
          <value t="str">
            <val>23.69</val>
          </value>
        </values>
      </ddeItem>
      <ddeItem name="1723.TW-DLOrderValueDiffRatio" advise="1">
        <values>
          <value>
            <val>-10.37</val>
          </value>
        </values>
      </ddeItem>
      <ddeItem name="1723.TW-DXLOrderOutValueRatio" advise="1">
        <values>
          <value>
            <val>0</val>
          </value>
        </values>
      </ddeItem>
      <ddeItem name="1723.TW-DXLOrderValueDiffRatio" advise="1">
        <values>
          <value>
            <val>-18.05</val>
          </value>
        </values>
      </ddeItem>
      <ddeItem name="1723.TW-ExchangeIndustry" advise="1">
        <values>
          <value t="str">
            <val>上市化學生技醫療,上市化工</val>
          </value>
        </values>
      </ddeItem>
      <ddeItem name="1723.TW-ID" advise="1">
        <values>
          <value t="str">
            <val>1723</val>
          </value>
        </values>
      </ddeItem>
      <ddeItem name="1723.TW-InOutRatioNumber" advise="1">
        <values>
          <value t="str">
            <val>29.00%</val>
          </value>
        </values>
      </ddeItem>
      <ddeItem name="1723.TW-Name" advise="1">
        <values>
          <value t="str">
            <val>中碳</val>
          </value>
        </values>
      </ddeItem>
      <ddeItem name="1723.TW-PreTotalVolumeRate" advise="1">
        <values>
          <value>
            <val>0.18</val>
          </value>
        </values>
      </ddeItem>
      <ddeItem name="1723.TW-Price" advise="1">
        <values>
          <value>
            <val>119.5</val>
          </value>
        </values>
      </ddeItem>
      <ddeItem name="1723.TW-PriceChangeRatio" advise="1">
        <values>
          <value>
            <val>-0.42</val>
          </value>
        </values>
      </ddeItem>
      <ddeItem name="1723.TW-Time" advise="1">
        <values>
          <value t="str">
            <val>10:14:51</val>
          </value>
        </values>
      </ddeItem>
      <ddeItem name="1723.TW-VolumeRatio" advise="1">
        <values>
          <value>
            <val>0.35</val>
          </value>
        </values>
      </ddeItem>
      <ddeItem name="1724.TW-5DayAvgVol" advise="1">
        <values>
          <value>
            <val>131</val>
          </value>
        </values>
      </ddeItem>
      <ddeItem name="1724.TW-AvgPrice" advise="1">
        <values>
          <value>
            <val>15.62</val>
          </value>
        </values>
      </ddeItem>
      <ddeItem name="1724.TW-Capital" advise="1">
        <values>
          <value t="str">
            <val>12.78</val>
          </value>
        </values>
      </ddeItem>
      <ddeItem name="1724.TW-DLOrderValueDiffRatio" advise="1">
        <values>
          <value>
            <val>0</val>
          </value>
        </values>
      </ddeItem>
      <ddeItem name="1724.TW-DXLOrderOutValueRatio" advise="1">
        <values>
          <value>
            <val>0</val>
          </value>
        </values>
      </ddeItem>
      <ddeItem name="1724.TW-DXLOrderValueDiffRatio" advise="1">
        <values>
          <value>
            <val>0</val>
          </value>
        </values>
      </ddeItem>
      <ddeItem name="1724.TW-ExchangeIndustry" advise="1">
        <values>
          <value t="str">
            <val>上市化學生技醫療,上市化工</val>
          </value>
        </values>
      </ddeItem>
      <ddeItem name="1724.TW-ID" advise="1">
        <values>
          <value t="str">
            <val>1724</val>
          </value>
        </values>
      </ddeItem>
      <ddeItem name="1724.TW-InOutRatioNumber" advise="1">
        <values>
          <value t="str">
            <val>33.33%</val>
          </value>
        </values>
      </ddeItem>
      <ddeItem name="1724.TW-Name" advise="1">
        <values>
          <value t="str">
            <val>台硝</val>
          </value>
        </values>
      </ddeItem>
      <ddeItem name="1724.TW-PreTotalVolumeRate" advise="1">
        <values>
          <value>
            <val>0.03</val>
          </value>
        </values>
      </ddeItem>
      <ddeItem name="1724.TW-Price" advise="1">
        <values>
          <value>
            <val>15.65</val>
          </value>
        </values>
      </ddeItem>
      <ddeItem name="1724.TW-PriceChangeRatio" advise="1">
        <values>
          <value>
            <val>0.32</val>
          </value>
        </values>
      </ddeItem>
      <ddeItem name="1724.TW-Time" advise="1">
        <values>
          <value t="str">
            <val>10:11:59</val>
          </value>
        </values>
      </ddeItem>
      <ddeItem name="1724.TW-VolumeRatio" advise="1">
        <values>
          <value>
            <val>0.15</val>
          </value>
        </values>
      </ddeItem>
      <ddeItem name="1725.TW-5DayAvgVol" advise="1">
        <values>
          <value>
            <val>896</val>
          </value>
        </values>
      </ddeItem>
      <ddeItem name="1725.TW-AvgPrice" advise="1">
        <values>
          <value>
            <val>26.99</val>
          </value>
        </values>
      </ddeItem>
      <ddeItem name="1725.TW-Capital" advise="1">
        <values>
          <value t="str">
            <val>18.18</val>
          </value>
        </values>
      </ddeItem>
      <ddeItem name="1725.TW-DLOrderValueDiffRatio" advise="1">
        <values>
          <value>
            <val>13.73</val>
          </value>
        </values>
      </ddeItem>
      <ddeItem name="1725.TW-DXLOrderOutValueRatio" advise="1">
        <values>
          <value>
            <val>9.24</val>
          </value>
        </values>
      </ddeItem>
      <ddeItem name="1725.TW-DXLOrderValueDiffRatio" advise="1">
        <values>
          <value>
            <val>9.24</val>
          </value>
        </values>
      </ddeItem>
      <ddeItem name="1725.TW-ExchangeIndustry" advise="1">
        <values>
          <value t="str">
            <val>上市化學生技醫療,上市化工</val>
          </value>
        </values>
      </ddeItem>
      <ddeItem name="1725.TW-ID" advise="1">
        <values>
          <value t="str">
            <val>1725</val>
          </value>
        </values>
      </ddeItem>
      <ddeItem name="1725.TW-InOutRatioNumber" advise="1">
        <values>
          <value t="str">
            <val>67.14%</val>
          </value>
        </values>
      </ddeItem>
      <ddeItem name="1725.TW-Name" advise="1">
        <values>
          <value t="str">
            <val>元禎</val>
          </value>
        </values>
      </ddeItem>
      <ddeItem name="1725.TW-PreTotalVolumeRate" advise="1">
        <values>
          <value>
            <val>0.46</val>
          </value>
        </values>
      </ddeItem>
      <ddeItem name="1725.TW-Price" advise="1">
        <values>
          <value>
            <val>27.95</val>
          </value>
        </values>
      </ddeItem>
      <ddeItem name="1725.TW-PriceChangeRatio" advise="1">
        <values>
          <value>
            <val>9.82</val>
          </value>
        </values>
      </ddeItem>
      <ddeItem name="1725.TW-Time" advise="1">
        <values>
          <value t="str">
            <val>10:14:17</val>
          </value>
        </values>
      </ddeItem>
      <ddeItem name="1725.TW-VolumeRatio" advise="1">
        <values>
          <value>
            <val>1.28</val>
          </value>
        </values>
      </ddeItem>
      <ddeItem name="1726.TW-5DayAvgVol" advise="1">
        <values>
          <value>
            <val>15</val>
          </value>
        </values>
      </ddeItem>
      <ddeItem name="1726.TW-AvgPrice" advise="1">
        <values>
          <value>
            <val>72.650000000000006</val>
          </value>
        </values>
      </ddeItem>
      <ddeItem name="1726.TW-Capital" advise="1">
        <values>
          <value t="str">
            <val>16.20</val>
          </value>
        </values>
      </ddeItem>
      <ddeItem name="1726.TW-DLOrderValueDiffRatio" advise="1">
        <values>
          <value>
            <val>0</val>
          </value>
        </values>
      </ddeItem>
      <ddeItem name="1726.TW-DXLOrderOutValueRatio" advise="1">
        <values>
          <value>
            <val>0</val>
          </value>
        </values>
      </ddeItem>
      <ddeItem name="1726.TW-DXLOrderValueDiffRatio" advise="1">
        <values>
          <value>
            <val>0</val>
          </value>
        </values>
      </ddeItem>
      <ddeItem name="1726.TW-ExchangeIndustry" advise="1">
        <values>
          <value t="str">
            <val>上市化學生技醫療,上市化工</val>
          </value>
        </values>
      </ddeItem>
      <ddeItem name="1726.TW-ID" advise="1">
        <values>
          <value t="str">
            <val>1726</val>
          </value>
        </values>
      </ddeItem>
      <ddeItem name="1726.TW-InOutRatioNumber" advise="1">
        <values>
          <value t="str">
            <val>25.00%</val>
          </value>
        </values>
      </ddeItem>
      <ddeItem name="1726.TW-Name" advise="1">
        <values>
          <value t="str">
            <val>永記</val>
          </value>
        </values>
      </ddeItem>
      <ddeItem name="1726.TW-PreTotalVolumeRate" advise="1">
        <values>
          <value>
            <val>0.11</val>
          </value>
        </values>
      </ddeItem>
      <ddeItem name="1726.TW-Price" advise="1">
        <values>
          <value>
            <val>72.599999999999994</val>
          </value>
        </values>
      </ddeItem>
      <ddeItem name="1726.TW-PriceChangeRatio" advise="1">
        <values>
          <value>
            <val>0.14000000000000001</val>
          </value>
        </values>
      </ddeItem>
      <ddeItem name="1726.TW-Time" advise="1">
        <values>
          <value t="str">
            <val>09:43:26</val>
          </value>
        </values>
      </ddeItem>
      <ddeItem name="1726.TW-VolumeRatio" advise="1">
        <values>
          <value>
            <val>0</val>
          </value>
        </values>
      </ddeItem>
      <ddeItem name="1727.TW-5DayAvgVol" advise="1">
        <values>
          <value>
            <val>63777</val>
          </value>
        </values>
      </ddeItem>
      <ddeItem name="1727.TW-AvgPrice" advise="1">
        <values>
          <value>
            <val>42.57</val>
          </value>
        </values>
      </ddeItem>
      <ddeItem name="1727.TW-Capital" advise="1">
        <values>
          <value t="str">
            <val>10.83</val>
          </value>
        </values>
      </ddeItem>
      <ddeItem name="1727.TW-DLOrderValueDiffRatio" advise="1">
        <values>
          <value>
            <val>0.99</val>
          </value>
        </values>
      </ddeItem>
      <ddeItem name="1727.TW-DXLOrderOutValueRatio" advise="1">
        <values>
          <value>
            <val>25.8</val>
          </value>
        </values>
      </ddeItem>
      <ddeItem name="1727.TW-DXLOrderValueDiffRatio" advise="1">
        <values>
          <value>
            <val>14.07</val>
          </value>
        </values>
      </ddeItem>
      <ddeItem name="1727.TW-ExchangeIndustry" advise="1">
        <values>
          <value t="str">
            <val>上市化學生技醫療,上市化工</val>
          </value>
        </values>
      </ddeItem>
      <ddeItem name="1727.TW-ID" advise="1">
        <values>
          <value t="str">
            <val>1727</val>
          </value>
        </values>
      </ddeItem>
      <ddeItem name="1727.TW-InOutRatioNumber" advise="1">
        <values>
          <value t="str">
            <val>62.21%</val>
          </value>
        </values>
      </ddeItem>
      <ddeItem name="1727.TW-Name" advise="1">
        <values>
          <value t="str">
            <val>中華化</val>
          </value>
        </values>
      </ddeItem>
      <ddeItem name="1727.TW-PreTotalVolumeRate" advise="1">
        <values>
          <value>
            <val>0.78</val>
          </value>
        </values>
      </ddeItem>
      <ddeItem name="1727.TW-Price" advise="1">
        <values>
          <value>
            <val>43.55</val>
          </value>
        </values>
      </ddeItem>
      <ddeItem name="1727.TW-PriceChangeRatio" advise="1">
        <values>
          <value>
            <val>9.9700000000000006</val>
          </value>
        </values>
      </ddeItem>
      <ddeItem name="1727.TW-Time" advise="1">
        <values>
          <value t="str">
            <val>10:15:17</val>
          </value>
        </values>
      </ddeItem>
      <ddeItem name="1727.TW-VolumeRatio" advise="1">
        <values>
          <value>
            <val>1.22</val>
          </value>
        </values>
      </ddeItem>
      <ddeItem name="1730.TW-5DayAvgVol" advise="1">
        <values>
          <value>
            <val>23</val>
          </value>
        </values>
      </ddeItem>
      <ddeItem name="1730.TW-AvgPrice" advise="1">
        <values>
          <value>
            <val>63.55</val>
          </value>
        </values>
      </ddeItem>
      <ddeItem name="1730.TW-Capital" advise="1">
        <values>
          <value t="str">
            <val>6.32</val>
          </value>
        </values>
      </ddeItem>
      <ddeItem name="1730.TW-DLOrderValueDiffRatio" advise="1">
        <values>
          <value>
            <val>0</val>
          </value>
        </values>
      </ddeItem>
      <ddeItem name="1730.TW-DXLOrderOutValueRatio" advise="1">
        <values>
          <value>
            <val>0</val>
          </value>
        </values>
      </ddeItem>
      <ddeItem name="1730.TW-DXLOrderValueDiffRatio" advise="1">
        <values>
          <value>
            <val>0</val>
          </value>
        </values>
      </ddeItem>
      <ddeItem name="1730.TW-ExchangeIndustry" advise="1">
        <values>
          <value t="str">
            <val>上市化學生技醫療,上市化工</val>
          </value>
        </values>
      </ddeItem>
      <ddeItem name="1730.TW-ID" advise="1">
        <values>
          <value t="str">
            <val>1730</val>
          </value>
        </values>
      </ddeItem>
      <ddeItem name="1730.TW-InOutRatioNumber" advise="1">
        <values>
          <value t="str">
            <val>50.00%</val>
          </value>
        </values>
      </ddeItem>
      <ddeItem name="1730.TW-Name" advise="1">
        <values>
          <value t="str">
            <val>花仙子</val>
          </value>
        </values>
      </ddeItem>
      <ddeItem name="1730.TW-PreTotalVolumeRate" advise="1">
        <values>
          <value>
            <val>0.08</val>
          </value>
        </values>
      </ddeItem>
      <ddeItem name="1730.TW-Price" advise="1">
        <values>
          <value>
            <val>63.5</val>
          </value>
        </values>
      </ddeItem>
      <ddeItem name="1730.TW-PriceChangeRatio" advise="1">
        <values>
          <value>
            <val>0.16</val>
          </value>
        </values>
      </ddeItem>
      <ddeItem name="1730.TW-Time" advise="1">
        <values>
          <value t="str">
            <val>09:20:29</val>
          </value>
        </values>
      </ddeItem>
      <ddeItem name="1730.TW-VolumeRatio" advise="1">
        <values>
          <value>
            <val>0</val>
          </value>
        </values>
      </ddeItem>
      <ddeItem name="1731.TW-5DayAvgVol" advise="1">
        <values>
          <value>
            <val>171</val>
          </value>
        </values>
      </ddeItem>
      <ddeItem name="1731.TW-AvgPrice" advise="1">
        <values>
          <value>
            <val>19.03</val>
          </value>
        </values>
      </ddeItem>
      <ddeItem name="1731.TW-Capital" advise="1">
        <values>
          <value t="str">
            <val>13.29</val>
          </value>
        </values>
      </ddeItem>
      <ddeItem name="1731.TW-DLOrderValueDiffRatio" advise="1">
        <values>
          <value>
            <val>27.5</val>
          </value>
        </values>
      </ddeItem>
      <ddeItem name="1731.TW-DXLOrderOutValueRatio" advise="1">
        <values>
          <value>
            <val>0</val>
          </value>
        </values>
      </ddeItem>
      <ddeItem name="1731.TW-DXLOrderValueDiffRatio" advise="1">
        <values>
          <value>
            <val>0</val>
          </value>
        </values>
      </ddeItem>
      <ddeItem name="1731.TW-ExchangeIndustry" advise="1">
        <values>
          <value t="str">
            <val>上市化學生技醫療,上市生技醫療</val>
          </value>
        </values>
      </ddeItem>
      <ddeItem name="1731.TW-ID" advise="1">
        <values>
          <value t="str">
            <val>1731</val>
          </value>
        </values>
      </ddeItem>
      <ddeItem name="1731.TW-InOutRatioNumber" advise="1">
        <values>
          <value t="str">
            <val>72.22%</val>
          </value>
        </values>
      </ddeItem>
      <ddeItem name="1731.TW-Name" advise="1">
        <values>
          <value t="str">
            <val>美吾華</val>
          </value>
        </values>
      </ddeItem>
      <ddeItem name="1731.TW-PreTotalVolumeRate" advise="1">
        <values>
          <value>
            <val>0.65</val>
          </value>
        </values>
      </ddeItem>
      <ddeItem name="1731.TW-Price" advise="1">
        <values>
          <value>
            <val>19.05</val>
          </value>
        </values>
      </ddeItem>
      <ddeItem name="1731.TW-PriceChangeRatio" advise="1">
        <values>
          <value>
            <val>0.53</val>
          </value>
        </values>
      </ddeItem>
      <ddeItem name="1731.TW-Time" advise="1">
        <values>
          <value t="str">
            <val>10:11:45</val>
          </value>
        </values>
      </ddeItem>
      <ddeItem name="1731.TW-VolumeRatio" advise="1">
        <values>
          <value>
            <val>2.06</val>
          </value>
        </values>
      </ddeItem>
      <ddeItem name="1732.TW-5DayAvgVol" advise="1">
        <values>
          <value>
            <val>262</val>
          </value>
        </values>
      </ddeItem>
      <ddeItem name="1732.TW-AvgPrice" advise="1">
        <values>
          <value>
            <val>24.62</val>
          </value>
        </values>
      </ddeItem>
      <ddeItem name="1732.TW-Capital" advise="1">
        <values>
          <value t="str">
            <val>4.24</val>
          </value>
        </values>
      </ddeItem>
      <ddeItem name="1732.TW-DLOrderValueDiffRatio" advise="1">
        <values>
          <value>
            <val>0</val>
          </value>
        </values>
      </ddeItem>
      <ddeItem name="1732.TW-DXLOrderOutValueRatio" advise="1">
        <values>
          <value>
            <val>0</val>
          </value>
        </values>
      </ddeItem>
      <ddeItem name="1732.TW-DXLOrderValueDiffRatio" advise="1">
        <values>
          <value>
            <val>0</val>
          </value>
        </values>
      </ddeItem>
      <ddeItem name="1732.TW-ExchangeIndustry" advise="1">
        <values>
          <value t="str">
            <val>上市化學生技醫療,上市化工</val>
          </value>
        </values>
      </ddeItem>
      <ddeItem name="1732.TW-ID" advise="1">
        <values>
          <value t="str">
            <val>1732</val>
          </value>
        </values>
      </ddeItem>
      <ddeItem name="1732.TW-InOutRatioNumber" advise="1">
        <values>
          <value t="str">
            <val>55.17%</val>
          </value>
        </values>
      </ddeItem>
      <ddeItem name="1732.TW-Name" advise="1">
        <values>
          <value t="str">
            <val>毛寶</val>
          </value>
        </values>
      </ddeItem>
      <ddeItem name="1732.TW-PreTotalVolumeRate" advise="1">
        <values>
          <value>
            <val>0.17</val>
          </value>
        </values>
      </ddeItem>
      <ddeItem name="1732.TW-Price" advise="1">
        <values>
          <value>
            <val>24.7</val>
          </value>
        </values>
      </ddeItem>
      <ddeItem name="1732.TW-PriceChangeRatio" advise="1">
        <values>
          <value>
            <val>0</val>
          </value>
        </values>
      </ddeItem>
      <ddeItem name="1732.TW-Time" advise="1">
        <values>
          <value t="str">
            <val>10:14:42</val>
          </value>
        </values>
      </ddeItem>
      <ddeItem name="1732.TW-VolumeRatio" advise="1">
        <values>
          <value>
            <val>0.52</val>
          </value>
        </values>
      </ddeItem>
      <ddeItem name="1733.TW-5DayAvgVol" advise="1">
        <values>
          <value>
            <val>66</val>
          </value>
        </values>
      </ddeItem>
      <ddeItem name="1733.TW-AvgPrice" advise="1">
        <values>
          <value>
            <val>22.88</val>
          </value>
        </values>
      </ddeItem>
      <ddeItem name="1733.TW-Capital" advise="1">
        <values>
          <value t="str">
            <val>10.00</val>
          </value>
        </values>
      </ddeItem>
      <ddeItem name="1733.TW-DLOrderValueDiffRatio" advise="1">
        <values>
          <value>
            <val>0</val>
          </value>
        </values>
      </ddeItem>
      <ddeItem name="1733.TW-DXLOrderOutValueRatio" advise="1">
        <values>
          <value>
            <val>0</val>
          </value>
        </values>
      </ddeItem>
      <ddeItem name="1733.TW-DXLOrderValueDiffRatio" advise="1">
        <values>
          <value>
            <val>0</val>
          </value>
        </values>
      </ddeItem>
      <ddeItem name="1733.TW-ExchangeIndustry" advise="1">
        <values>
          <value t="str">
            <val>上市化學生技醫療,上市生技醫療</val>
          </value>
        </values>
      </ddeItem>
      <ddeItem name="1733.TW-ID" advise="1">
        <values>
          <value t="str">
            <val>1733</val>
          </value>
        </values>
      </ddeItem>
      <ddeItem name="1733.TW-InOutRatioNumber" advise="1">
        <values>
          <value t="str">
            <val>51.85%</val>
          </value>
        </values>
      </ddeItem>
      <ddeItem name="1733.TW-Name" advise="1">
        <values>
          <value t="str">
            <val>五鼎</val>
          </value>
        </values>
      </ddeItem>
      <ddeItem name="1733.TW-PreTotalVolumeRate" advise="1">
        <values>
          <value>
            <val>0.31</val>
          </value>
        </values>
      </ddeItem>
      <ddeItem name="1733.TW-Price" advise="1">
        <values>
          <value>
            <val>22.9</val>
          </value>
        </values>
      </ddeItem>
      <ddeItem name="1733.TW-PriceChangeRatio" advise="1">
        <values>
          <value>
            <val>0.44</val>
          </value>
        </values>
      </ddeItem>
      <ddeItem name="1733.TW-Time" advise="1">
        <values>
          <value t="str">
            <val>10:03:51</val>
          </value>
        </values>
      </ddeItem>
      <ddeItem name="1733.TW-VolumeRatio" advise="1">
        <values>
          <value>
            <val>3.02</val>
          </value>
        </values>
      </ddeItem>
      <ddeItem name="1734.TW-5DayAvgVol" advise="1">
        <values>
          <value>
            <val>2569</val>
          </value>
        </values>
      </ddeItem>
      <ddeItem name="1734.TW-AvgPrice" advise="1">
        <values>
          <value>
            <val>38.22</val>
          </value>
        </values>
      </ddeItem>
      <ddeItem name="1734.TW-Capital" advise="1">
        <values>
          <value t="str">
            <val>16.77</val>
          </value>
        </values>
      </ddeItem>
      <ddeItem name="1734.TW-DLOrderValueDiffRatio" advise="1">
        <values>
          <value>
            <val>8.74</val>
          </value>
        </values>
      </ddeItem>
      <ddeItem name="1734.TW-DXLOrderOutValueRatio" advise="1">
        <values>
          <value>
            <val>6.3</val>
          </value>
        </values>
      </ddeItem>
      <ddeItem name="1734.TW-DXLOrderValueDiffRatio" advise="1">
        <values>
          <value>
            <val>-1.52</val>
          </value>
        </values>
      </ddeItem>
      <ddeItem name="1734.TW-ExchangeIndustry" advise="1">
        <values>
          <value t="str">
            <val>上市化學生技醫療,上市生技醫療</val>
          </value>
        </values>
      </ddeItem>
      <ddeItem name="1734.TW-ID" advise="1">
        <values>
          <value t="str">
            <val>1734</val>
          </value>
        </values>
      </ddeItem>
      <ddeItem name="1734.TW-InOutRatioNumber" advise="1">
        <values>
          <value t="str">
            <val>59.43%</val>
          </value>
        </values>
      </ddeItem>
      <ddeItem name="1734.TW-Name" advise="1">
        <values>
          <value t="str">
            <val>杏輝</val>
          </value>
        </values>
      </ddeItem>
      <ddeItem name="1734.TW-PreTotalVolumeRate" advise="1">
        <values>
          <value>
            <val>0.28999999999999998</val>
          </value>
        </values>
      </ddeItem>
      <ddeItem name="1734.TW-Price" advise="1">
        <values>
          <value>
            <val>38</val>
          </value>
        </values>
      </ddeItem>
      <ddeItem name="1734.TW-PriceChangeRatio" advise="1">
        <values>
          <value>
            <val>0.4</val>
          </value>
        </values>
      </ddeItem>
      <ddeItem name="1734.TW-Time" advise="1">
        <values>
          <value t="str">
            <val>10:14:40</val>
          </value>
        </values>
      </ddeItem>
      <ddeItem name="1734.TW-VolumeRatio" advise="1">
        <values>
          <value>
            <val>0.71</val>
          </value>
        </values>
      </ddeItem>
      <ddeItem name="1735.TW-5DayAvgVol" advise="1">
        <values>
          <value>
            <val>5</val>
          </value>
        </values>
      </ddeItem>
      <ddeItem name="1735.TW-AvgPrice" advise="1">
        <values>
          <value>
            <val>18.149999999999999</val>
          </value>
        </values>
      </ddeItem>
      <ddeItem name="1735.TW-Capital" advise="1">
        <values>
          <value t="str">
            <val>9.94</val>
          </value>
        </values>
      </ddeItem>
      <ddeItem name="1735.TW-DLOrderValueDiffRatio" advise="1">
        <values>
          <value>
            <val>0</val>
          </value>
        </values>
      </ddeItem>
      <ddeItem name="1735.TW-DXLOrderOutValueRatio" advise="1">
        <values>
          <value>
            <val>0</val>
          </value>
        </values>
      </ddeItem>
      <ddeItem name="1735.TW-DXLOrderValueDiffRatio" advise="1">
        <values>
          <value>
            <val>0</val>
          </value>
        </values>
      </ddeItem>
      <ddeItem name="1735.TW-ExchangeIndustry" advise="1">
        <values>
          <value t="str">
            <val>上市化學生技醫療,上市化工</val>
          </value>
        </values>
      </ddeItem>
      <ddeItem name="1735.TW-ID" advise="1">
        <values>
          <value t="str">
            <val>1735</val>
          </value>
        </values>
      </ddeItem>
      <ddeItem name="1735.TW-InOutRatioNumber" advise="1">
        <values>
          <value t="str">
            <val>100.00%</val>
          </value>
        </values>
      </ddeItem>
      <ddeItem name="1735.TW-Name" advise="1">
        <values>
          <value t="str">
            <val>日勝化</val>
          </value>
        </values>
      </ddeItem>
      <ddeItem name="1735.TW-PreTotalVolumeRate" advise="1">
        <values>
          <value>
            <val>0.17</val>
          </value>
        </values>
      </ddeItem>
      <ddeItem name="1735.TW-Price" advise="1">
        <values>
          <value>
            <val>18.149999999999999</val>
          </value>
        </values>
      </ddeItem>
      <ddeItem name="1735.TW-PriceChangeRatio" advise="1">
        <values>
          <value>
            <val>1.4</val>
          </value>
        </values>
      </ddeItem>
      <ddeItem name="1735.TW-Time" advise="1">
        <values>
          <value t="str">
            <val>10:11:08</val>
          </value>
        </values>
      </ddeItem>
      <ddeItem name="1735.TW-VolumeRatio" advise="1">
        <values>
          <value>
            <val>0</val>
          </value>
        </values>
      </ddeItem>
      <ddeItem name="1736.TW-5DayAvgVol" advise="1">
        <values>
          <value>
            <val>788</val>
          </value>
        </values>
      </ddeItem>
      <ddeItem name="1736.TW-AvgPrice" advise="1">
        <values>
          <value>
            <val>56.31</val>
          </value>
        </values>
      </ddeItem>
      <ddeItem name="1736.TW-Capital" advise="1">
        <values>
          <value t="str">
            <val>30.36</val>
          </value>
        </values>
      </ddeItem>
      <ddeItem name="1736.TW-DLOrderValueDiffRatio" advise="1">
        <values>
          <value>
            <val>1.96</val>
          </value>
        </values>
      </ddeItem>
      <ddeItem name="1736.TW-DXLOrderOutValueRatio" advise="1">
        <values>
          <value>
            <val>0</val>
          </value>
        </values>
      </ddeItem>
      <ddeItem name="1736.TW-DXLOrderValueDiffRatio" advise="1">
        <values>
          <value>
            <val>0</val>
          </value>
        </values>
      </ddeItem>
      <ddeItem name="1736.TW-ExchangeIndustry" advise="1">
        <values>
          <value t="str">
            <val>上市化學生技醫療,上市生技醫療</val>
          </value>
        </values>
      </ddeItem>
      <ddeItem name="1736.TW-ID" advise="1">
        <values>
          <value t="str">
            <val>1736</val>
          </value>
        </values>
      </ddeItem>
      <ddeItem name="1736.TW-InOutRatioNumber" advise="1">
        <values>
          <value t="str">
            <val>60.00%</val>
          </value>
        </values>
      </ddeItem>
      <ddeItem name="1736.TW-Name" advise="1">
        <values>
          <value t="str">
            <val>喬山</val>
          </value>
        </values>
      </ddeItem>
      <ddeItem name="1736.TW-PreTotalVolumeRate" advise="1">
        <values>
          <value>
            <val>0.23</val>
          </value>
        </values>
      </ddeItem>
      <ddeItem name="1736.TW-Price" advise="1">
        <values>
          <value>
            <val>57</val>
          </value>
        </values>
      </ddeItem>
      <ddeItem name="1736.TW-PriceChangeRatio" advise="1">
        <values>
          <value>
            <val>1.24</val>
          </value>
        </values>
      </ddeItem>
      <ddeItem name="1736.TW-Time" advise="1">
        <values>
          <value t="str">
            <val>10:06:18</val>
          </value>
        </values>
      </ddeItem>
      <ddeItem name="1736.TW-VolumeRatio" advise="1">
        <values>
          <value>
            <val>0.56999999999999995</val>
          </value>
        </values>
      </ddeItem>
      <ddeItem name="1737.TW-5DayAvgVol" advise="1">
        <values>
          <value>
            <val>558</val>
          </value>
        </values>
      </ddeItem>
      <ddeItem name="1737.TW-AvgPrice" advise="1">
        <values>
          <value>
            <val>33.89</val>
          </value>
        </values>
      </ddeItem>
      <ddeItem name="1737.TW-Capital" advise="1">
        <values>
          <value t="str">
            <val>20.00</val>
          </value>
        </values>
      </ddeItem>
      <ddeItem name="1737.TW-DLOrderValueDiffRatio" advise="1">
        <values>
          <value>
            <val>-23.31</val>
          </value>
        </values>
      </ddeItem>
      <ddeItem name="1737.TW-DXLOrderOutValueRatio" advise="1">
        <values>
          <value>
            <val>0</val>
          </value>
        </values>
      </ddeItem>
      <ddeItem name="1737.TW-DXLOrderValueDiffRatio" advise="1">
        <values>
          <value>
            <val>0</val>
          </value>
        </values>
      </ddeItem>
      <ddeItem name="1737.TW-ExchangeIndustry" advise="1">
        <values>
          <value t="str">
            <val>上市食品</val>
          </value>
        </values>
      </ddeItem>
      <ddeItem name="1737.TW-ID" advise="1">
        <values>
          <value t="str">
            <val>1737</val>
          </value>
        </values>
      </ddeItem>
      <ddeItem name="1737.TW-InOutRatioNumber" advise="1">
        <values>
          <value t="str">
            <val>48.30%</val>
          </value>
        </values>
      </ddeItem>
      <ddeItem name="1737.TW-Name" advise="1">
        <values>
          <value t="str">
            <val>臺鹽</val>
          </value>
        </values>
      </ddeItem>
      <ddeItem name="1737.TW-PreTotalVolumeRate" advise="1">
        <values>
          <value>
            <val>0.38</val>
          </value>
        </values>
      </ddeItem>
      <ddeItem name="1737.TW-Price" advise="1">
        <values>
          <value>
            <val>33.950000000000003</val>
          </value>
        </values>
      </ddeItem>
      <ddeItem name="1737.TW-PriceChangeRatio" advise="1">
        <values>
          <value>
            <val>0.44</val>
          </value>
        </values>
      </ddeItem>
      <ddeItem name="1737.TW-Time" advise="1">
        <values>
          <value t="str">
            <val>10:13:39</val>
          </value>
        </values>
      </ddeItem>
      <ddeItem name="1737.TW-VolumeRatio" advise="1">
        <values>
          <value>
            <val>1.1399999999999999</val>
          </value>
        </values>
      </ddeItem>
      <ddeItem name="1760.TW-5DayAvgVol" advise="1">
        <values>
          <value>
            <val>518</val>
          </value>
        </values>
      </ddeItem>
      <ddeItem name="1760.TW-AvgPrice" advise="1">
        <values>
          <value>
            <val>66.569999999999993</val>
          </value>
        </values>
      </ddeItem>
      <ddeItem name="1760.TW-Capital" advise="1">
        <values>
          <value t="str">
            <val>8.57</val>
          </value>
        </values>
      </ddeItem>
      <ddeItem name="1760.TW-DLOrderValueDiffRatio" advise="1">
        <values>
          <value>
            <val>-9.4499999999999993</val>
          </value>
        </values>
      </ddeItem>
      <ddeItem name="1760.TW-DXLOrderOutValueRatio" advise="1">
        <values>
          <value>
            <val>0</val>
          </value>
        </values>
      </ddeItem>
      <ddeItem name="1760.TW-DXLOrderValueDiffRatio" advise="1">
        <values>
          <value>
            <val>-30.84</val>
          </value>
        </values>
      </ddeItem>
      <ddeItem name="1760.TW-ExchangeIndustry" advise="1">
        <values>
          <value t="str">
            <val>上市化學生技醫療,上市生技醫療</val>
          </value>
        </values>
      </ddeItem>
      <ddeItem name="1760.TW-ID" advise="1">
        <values>
          <value t="str">
            <val>1760</val>
          </value>
        </values>
      </ddeItem>
      <ddeItem name="1760.TW-InOutRatioNumber" advise="1">
        <values>
          <value t="str">
            <val>22.76%</val>
          </value>
        </values>
      </ddeItem>
      <ddeItem name="1760.TW-Name" advise="1">
        <values>
          <value t="str">
            <val>寶齡富錦</val>
          </value>
        </values>
      </ddeItem>
      <ddeItem name="1760.TW-PreTotalVolumeRate" advise="1">
        <values>
          <value>
            <val>0.19</val>
          </value>
        </values>
      </ddeItem>
      <ddeItem name="1760.TW-Price" advise="1">
        <values>
          <value>
            <val>66.2</val>
          </value>
        </values>
      </ddeItem>
      <ddeItem name="1760.TW-PriceChangeRatio" advise="1">
        <values>
          <value>
            <val>-0.6</val>
          </value>
        </values>
      </ddeItem>
      <ddeItem name="1760.TW-Time" advise="1">
        <values>
          <value t="str">
            <val>10:12:35</val>
          </value>
        </values>
      </ddeItem>
      <ddeItem name="1760.TW-VolumeRatio" advise="1">
        <values>
          <value>
            <val>0.5</val>
          </value>
        </values>
      </ddeItem>
      <ddeItem name="1762.TW-5DayAvgVol" advise="1">
        <values>
          <value>
            <val>1882</val>
          </value>
        </values>
      </ddeItem>
      <ddeItem name="1762.TW-AvgPrice" advise="1">
        <values>
          <value>
            <val>66.45</val>
          </value>
        </values>
      </ddeItem>
      <ddeItem name="1762.TW-Capital" advise="1">
        <values>
          <value t="str">
            <val>7.76</val>
          </value>
        </values>
      </ddeItem>
      <ddeItem name="1762.TW-DLOrderValueDiffRatio" advise="1">
        <values>
          <value>
            <val>-15.06</val>
          </value>
        </values>
      </ddeItem>
      <ddeItem name="1762.TW-DXLOrderOutValueRatio" advise="1">
        <values>
          <value>
            <val>0</val>
          </value>
        </values>
      </ddeItem>
      <ddeItem name="1762.TW-DXLOrderValueDiffRatio" advise="1">
        <values>
          <value>
            <val>-9.41</val>
          </value>
        </values>
      </ddeItem>
      <ddeItem name="1762.TW-ExchangeIndustry" advise="1">
        <values>
          <value t="str">
            <val>上市化學生技醫療,上市生技醫療</val>
          </value>
        </values>
      </ddeItem>
      <ddeItem name="1762.TW-ID" advise="1">
        <values>
          <value t="str">
            <val>1762</val>
          </value>
        </values>
      </ddeItem>
      <ddeItem name="1762.TW-InOutRatioNumber" advise="1">
        <values>
          <value t="str">
            <val>27.43%</val>
          </value>
        </values>
      </ddeItem>
      <ddeItem name="1762.TW-Name" advise="1">
        <values>
          <value t="str">
            <val>中化生</val>
          </value>
        </values>
      </ddeItem>
      <ddeItem name="1762.TW-PreTotalVolumeRate" advise="1">
        <values>
          <value>
            <val>0.56999999999999995</val>
          </value>
        </values>
      </ddeItem>
      <ddeItem name="1762.TW-Price" advise="1">
        <values>
          <value>
            <val>66.8</val>
          </value>
        </values>
      </ddeItem>
      <ddeItem name="1762.TW-PriceChangeRatio" advise="1">
        <values>
          <value>
            <val>-1.04</val>
          </value>
        </values>
      </ddeItem>
      <ddeItem name="1762.TW-Time" advise="1">
        <values>
          <value t="str">
            <val>10:14:47</val>
          </value>
        </values>
      </ddeItem>
      <ddeItem name="1762.TW-VolumeRatio" advise="1">
        <values>
          <value>
            <val>1.02</val>
          </value>
        </values>
      </ddeItem>
      <ddeItem name="1773.TW-5DayAvgVol" advise="1">
        <values>
          <value>
            <val>275</val>
          </value>
        </values>
      </ddeItem>
      <ddeItem name="1773.TW-AvgPrice" advise="1">
        <values>
          <value>
            <val>132.9</val>
          </value>
        </values>
      </ddeItem>
      <ddeItem name="1773.TW-Capital" advise="1">
        <values>
          <value t="str">
            <val>20.00</val>
          </value>
        </values>
      </ddeItem>
      <ddeItem name="1773.TW-DLOrderValueDiffRatio" advise="1">
        <values>
          <value>
            <val>13.88</val>
          </value>
        </values>
      </ddeItem>
      <ddeItem name="1773.TW-DXLOrderOutValueRatio" advise="1">
        <values>
          <value>
            <val>0</val>
          </value>
        </values>
      </ddeItem>
      <ddeItem name="1773.TW-DXLOrderValueDiffRatio" advise="1">
        <values>
          <value>
            <val>0</val>
          </value>
        </values>
      </ddeItem>
      <ddeItem name="1773.TW-ExchangeIndustry" advise="1">
        <values>
          <value t="str">
            <val>上市化學生技醫療,上市化工</val>
          </value>
        </values>
      </ddeItem>
      <ddeItem name="1773.TW-ID" advise="1">
        <values>
          <value t="str">
            <val>1773</val>
          </value>
        </values>
      </ddeItem>
      <ddeItem name="1773.TW-InOutRatioNumber" advise="1">
        <values>
          <value t="str">
            <val>36.84%</val>
          </value>
        </values>
      </ddeItem>
      <ddeItem name="1773.TW-Name" advise="1">
        <values>
          <value t="str">
            <val>勝一</val>
          </value>
        </values>
      </ddeItem>
      <ddeItem name="1773.TW-PreTotalVolumeRate" advise="1">
        <values>
          <value>
            <val>0.32</val>
          </value>
        </values>
      </ddeItem>
      <ddeItem name="1773.TW-Price" advise="1">
        <values>
          <value>
            <val>132.5</val>
          </value>
        </values>
      </ddeItem>
      <ddeItem name="1773.TW-PriceChangeRatio" advise="1">
        <values>
          <value>
            <val>-1.1200000000000001</val>
          </value>
        </values>
      </ddeItem>
      <ddeItem name="1773.TW-Time" advise="1">
        <values>
          <value t="str">
            <val>10:14:29</val>
          </value>
        </values>
      </ddeItem>
      <ddeItem name="1773.TW-VolumeRatio" advise="1">
        <values>
          <value>
            <val>0.73</val>
          </value>
        </values>
      </ddeItem>
      <ddeItem name="1776.TW-5DayAvgVol" advise="1">
        <values>
          <value>
            <val>1898</val>
          </value>
        </values>
      </ddeItem>
      <ddeItem name="1776.TW-AvgPrice" advise="1">
        <values>
          <value>
            <val>24.36</val>
          </value>
        </values>
      </ddeItem>
      <ddeItem name="1776.TW-Capital" advise="1">
        <values>
          <value t="str">
            <val>7.03</val>
          </value>
        </values>
      </ddeItem>
      <ddeItem name="1776.TW-DLOrderValueDiffRatio" advise="1">
        <values>
          <value>
            <val>4.87</val>
          </value>
        </values>
      </ddeItem>
      <ddeItem name="1776.TW-DXLOrderOutValueRatio" advise="1">
        <values>
          <value>
            <val>0</val>
          </value>
        </values>
      </ddeItem>
      <ddeItem name="1776.TW-DXLOrderValueDiffRatio" advise="1">
        <values>
          <value>
            <val>0</val>
          </value>
        </values>
      </ddeItem>
      <ddeItem name="1776.TW-ExchangeIndustry" advise="1">
        <values>
          <value t="str">
            <val>上市化學生技醫療,上市化工</val>
          </value>
        </values>
      </ddeItem>
      <ddeItem name="1776.TW-ID" advise="1">
        <values>
          <value t="str">
            <val>1776</val>
          </value>
        </values>
      </ddeItem>
      <ddeItem name="1776.TW-InOutRatioNumber" advise="1">
        <values>
          <value t="str">
            <val>66.71%</val>
          </value>
        </values>
      </ddeItem>
      <ddeItem name="1776.TW-Name" advise="1">
        <values>
          <value t="str">
            <val>展宇</val>
          </value>
        </values>
      </ddeItem>
      <ddeItem name="1776.TW-PreTotalVolumeRate" advise="1">
        <values>
          <value>
            <val>0.65</val>
          </value>
        </values>
      </ddeItem>
      <ddeItem name="1776.TW-Price" advise="1">
        <values>
          <value>
            <val>24.8</val>
          </value>
        </values>
      </ddeItem>
      <ddeItem name="1776.TW-PriceChangeRatio" advise="1">
        <values>
          <value>
            <val>5.98</val>
          </value>
        </values>
      </ddeItem>
      <ddeItem name="1776.TW-Time" advise="1">
        <values>
          <value t="str">
            <val>10:15:18</val>
          </value>
        </values>
      </ddeItem>
      <ddeItem name="1776.TW-VolumeRatio" advise="1">
        <values>
          <value>
            <val>1.18</val>
          </value>
        </values>
      </ddeItem>
      <ddeItem name="1783.TW-5DayAvgVol" advise="1">
        <values>
          <value>
            <val>980</val>
          </value>
        </values>
      </ddeItem>
      <ddeItem name="1783.TW-AvgPrice" advise="1">
        <values>
          <value>
            <val>54.17</val>
          </value>
        </values>
      </ddeItem>
      <ddeItem name="1783.TW-Capital" advise="1">
        <values>
          <value t="str">
            <val>7.70</val>
          </value>
        </values>
      </ddeItem>
      <ddeItem name="1783.TW-DLOrderValueDiffRatio" advise="1">
        <values>
          <value>
            <val>9.75</val>
          </value>
        </values>
      </ddeItem>
      <ddeItem name="1783.TW-DXLOrderOutValueRatio" advise="1">
        <values>
          <value>
            <val>9.67</val>
          </value>
        </values>
      </ddeItem>
      <ddeItem name="1783.TW-DXLOrderValueDiffRatio" advise="1">
        <values>
          <value>
            <val>9.67</val>
          </value>
        </values>
      </ddeItem>
      <ddeItem name="1783.TW-ExchangeIndustry" advise="1">
        <values>
          <value t="str">
            <val>上市化學生技醫療,上市生技醫療</val>
          </value>
        </values>
      </ddeItem>
      <ddeItem name="1783.TW-ID" advise="1">
        <values>
          <value t="str">
            <val>1783</val>
          </value>
        </values>
      </ddeItem>
      <ddeItem name="1783.TW-InOutRatioNumber" advise="1">
        <values>
          <value t="str">
            <val>79.30%</val>
          </value>
        </values>
      </ddeItem>
      <ddeItem name="1783.TW-Name" advise="1">
        <values>
          <value t="str">
            <val>和康生</val>
          </value>
        </values>
      </ddeItem>
      <ddeItem name="1783.TW-PreTotalVolumeRate" advise="1">
        <values>
          <value>
            <val>1.02</val>
          </value>
        </values>
      </ddeItem>
      <ddeItem name="1783.TW-Price" advise="1">
        <values>
          <value>
            <val>54.5</val>
          </value>
        </values>
      </ddeItem>
      <ddeItem name="1783.TW-PriceChangeRatio" advise="1">
        <values>
          <value>
            <val>3.61</val>
          </value>
        </values>
      </ddeItem>
      <ddeItem name="1783.TW-Time" advise="1">
        <values>
          <value t="str">
            <val>10:15:19</val>
          </value>
        </values>
      </ddeItem>
      <ddeItem name="1783.TW-VolumeRatio" advise="1">
        <values>
          <value>
            <val>2.0699999999999998</val>
          </value>
        </values>
      </ddeItem>
      <ddeItem name="1786.TW-5DayAvgVol" advise="1">
        <values>
          <value>
            <val>18</val>
          </value>
        </values>
      </ddeItem>
      <ddeItem name="1786.TW-AvgPrice" advise="1">
        <values>
          <value t="str">
            <val>--</val>
          </value>
        </values>
      </ddeItem>
      <ddeItem name="1786.TW-Capital" advise="1">
        <values>
          <value t="str">
            <val>6.62</val>
          </value>
        </values>
      </ddeItem>
      <ddeItem name="1786.TW-DLOrderValueDiffRatio" advise="1">
        <values>
          <value>
            <val>0</val>
          </value>
        </values>
      </ddeItem>
      <ddeItem name="1786.TW-DXLOrderOutValueRatio" advise="1">
        <values>
          <value>
            <val>0</val>
          </value>
        </values>
      </ddeItem>
      <ddeItem name="1786.TW-DXLOrderValueDiffRatio" advise="1">
        <values>
          <value>
            <val>0</val>
          </value>
        </values>
      </ddeItem>
      <ddeItem name="1786.TW-ExchangeIndustry" advise="1">
        <values>
          <value t="str">
            <val>上市化學生技醫療,上市生技醫療</val>
          </value>
        </values>
      </ddeItem>
      <ddeItem name="1786.TW-ID" advise="1">
        <values>
          <value t="str">
            <val>1786</val>
          </value>
        </values>
      </ddeItem>
      <ddeItem name="1786.TW-InOutRatioNumber" advise="1">
        <values>
          <value t="str">
            <val>--</val>
          </value>
        </values>
      </ddeItem>
      <ddeItem name="1786.TW-Name" advise="1">
        <values>
          <value t="str">
            <val>科妍</val>
          </value>
        </values>
      </ddeItem>
      <ddeItem name="1786.TW-PreTotalVolumeRate" advise="1">
        <values>
          <value>
            <val>0</val>
          </value>
        </values>
      </ddeItem>
      <ddeItem name="1786.TW-Price" advise="1">
        <values>
          <value t="str">
            <val>--</val>
          </value>
        </values>
      </ddeItem>
      <ddeItem name="1786.TW-PriceChangeRatio" advise="1">
        <values>
          <value t="str">
            <val>--</val>
          </value>
        </values>
      </ddeItem>
      <ddeItem name="1786.TW-Time" advise="1">
        <values>
          <value t="str">
            <val>--</val>
          </value>
        </values>
      </ddeItem>
      <ddeItem name="1786.TW-VolumeRatio" advise="1">
        <values>
          <value>
            <val>0</val>
          </value>
        </values>
      </ddeItem>
      <ddeItem name="1789.TW-5DayAvgVol" advise="1">
        <values>
          <value>
            <val>257</val>
          </value>
        </values>
      </ddeItem>
      <ddeItem name="1789.TW-AvgPrice" advise="1">
        <values>
          <value>
            <val>24.01</val>
          </value>
        </values>
      </ddeItem>
      <ddeItem name="1789.TW-Capital" advise="1">
        <values>
          <value t="str">
            <val>79.07</val>
          </value>
        </values>
      </ddeItem>
      <ddeItem name="1789.TW-DLOrderValueDiffRatio" advise="1">
        <values>
          <value>
            <val>0</val>
          </value>
        </values>
      </ddeItem>
      <ddeItem name="1789.TW-DXLOrderOutValueRatio" advise="1">
        <values>
          <value>
            <val>0</val>
          </value>
        </values>
      </ddeItem>
      <ddeItem name="1789.TW-DXLOrderValueDiffRatio" advise="1">
        <values>
          <value>
            <val>0</val>
          </value>
        </values>
      </ddeItem>
      <ddeItem name="1789.TW-ExchangeIndustry" advise="1">
        <values>
          <value t="str">
            <val>上市化學生技醫療,上市生技醫療</val>
          </value>
        </values>
      </ddeItem>
      <ddeItem name="1789.TW-ID" advise="1">
        <values>
          <value t="str">
            <val>1789</val>
          </value>
        </values>
      </ddeItem>
      <ddeItem name="1789.TW-InOutRatioNumber" advise="1">
        <values>
          <value t="str">
            <val>34.62%</val>
          </value>
        </values>
      </ddeItem>
      <ddeItem name="1789.TW-Name" advise="1">
        <values>
          <value t="str">
            <val>神隆</val>
          </value>
        </values>
      </ddeItem>
      <ddeItem name="1789.TW-PreTotalVolumeRate" advise="1">
        <values>
          <value>
            <val>0.11</val>
          </value>
        </values>
      </ddeItem>
      <ddeItem name="1789.TW-Price" advise="1">
        <values>
          <value>
            <val>24.15</val>
          </value>
        </values>
      </ddeItem>
      <ddeItem name="1789.TW-PriceChangeRatio" advise="1">
        <values>
          <value>
            <val>0.63</val>
          </value>
        </values>
      </ddeItem>
      <ddeItem name="1789.TW-Time" advise="1">
        <values>
          <value t="str">
            <val>10:03:59</val>
          </value>
        </values>
      </ddeItem>
      <ddeItem name="1789.TW-VolumeRatio" advise="1">
        <values>
          <value>
            <val>0.42</val>
          </value>
        </values>
      </ddeItem>
      <ddeItem name="1795.TW-5DayAvgVol" advise="1">
        <values>
          <value>
            <val>1679</val>
          </value>
        </values>
      </ddeItem>
      <ddeItem name="1795.TW-AvgPrice" advise="1">
        <values>
          <value>
            <val>98.95</val>
          </value>
        </values>
      </ddeItem>
      <ddeItem name="1795.TW-Capital" advise="1">
        <values>
          <value t="str">
            <val>26.29</val>
          </value>
        </values>
      </ddeItem>
      <ddeItem name="1795.TW-DLOrderValueDiffRatio" advise="1">
        <values>
          <value>
            <val>0.32</val>
          </value>
        </values>
      </ddeItem>
      <ddeItem name="1795.TW-DXLOrderOutValueRatio" advise="1">
        <values>
          <value>
            <val>0</val>
          </value>
        </values>
      </ddeItem>
      <ddeItem name="1795.TW-DXLOrderValueDiffRatio" advise="1">
        <values>
          <value>
            <val>-12.69</val>
          </value>
        </values>
      </ddeItem>
      <ddeItem name="1795.TW-ExchangeIndustry" advise="1">
        <values>
          <value t="str">
            <val>上市化學生技醫療,上市生技醫療</val>
          </value>
        </values>
      </ddeItem>
      <ddeItem name="1795.TW-ID" advise="1">
        <values>
          <value t="str">
            <val>1795</val>
          </value>
        </values>
      </ddeItem>
      <ddeItem name="1795.TW-InOutRatioNumber" advise="1">
        <values>
          <value t="str">
            <val>50.61%</val>
          </value>
        </values>
      </ddeItem>
      <ddeItem name="1795.TW-Name" advise="1">
        <values>
          <value t="str">
            <val>美時</val>
          </value>
        </values>
      </ddeItem>
      <ddeItem name="1795.TW-PreTotalVolumeRate" advise="1">
        <values>
          <value>
            <val>0.22</val>
          </value>
        </values>
      </ddeItem>
      <ddeItem name="1795.TW-Price" advise="1">
        <values>
          <value>
            <val>99</val>
          </value>
        </values>
      </ddeItem>
      <ddeItem name="1795.TW-PriceChangeRatio" advise="1">
        <values>
          <value>
            <val>1.02</val>
          </value>
        </values>
      </ddeItem>
      <ddeItem name="1795.TW-Time" advise="1">
        <values>
          <value t="str">
            <val>10:14:49</val>
          </value>
        </values>
      </ddeItem>
      <ddeItem name="1795.TW-VolumeRatio" advise="1">
        <values>
          <value>
            <val>0.46</val>
          </value>
        </values>
      </ddeItem>
      <ddeItem name="1802.TW-5DayAvgVol" advise="1">
        <values>
          <value>
            <val>12299</val>
          </value>
        </values>
      </ddeItem>
      <ddeItem name="1802.TW-AvgPrice" advise="1">
        <values>
          <value>
            <val>27.33</val>
          </value>
        </values>
      </ddeItem>
      <ddeItem name="1802.TW-Capital" advise="1">
        <values>
          <value t="str">
            <val>290.81</val>
          </value>
        </values>
      </ddeItem>
      <ddeItem name="1802.TW-DLOrderValueDiffRatio" advise="1">
        <values>
          <value>
            <val>-13.31</val>
          </value>
        </values>
      </ddeItem>
      <ddeItem name="1802.TW-DXLOrderOutValueRatio" advise="1">
        <values>
          <value>
            <val>2.83</val>
          </value>
        </values>
      </ddeItem>
      <ddeItem name="1802.TW-DXLOrderValueDiffRatio" advise="1">
        <values>
          <value>
            <val>-24.24</val>
          </value>
        </values>
      </ddeItem>
      <ddeItem name="1802.TW-ExchangeIndustry" advise="1">
        <values>
          <value t="str">
            <val>上市玻璃陶瓷</val>
          </value>
        </values>
      </ddeItem>
      <ddeItem name="1802.TW-ID" advise="1">
        <values>
          <value t="str">
            <val>1802</val>
          </value>
        </values>
      </ddeItem>
      <ddeItem name="1802.TW-InOutRatioNumber" advise="1">
        <values>
          <value t="str">
            <val>29.45%</val>
          </value>
        </values>
      </ddeItem>
      <ddeItem name="1802.TW-Name" advise="1">
        <values>
          <value t="str">
            <val>台玻</val>
          </value>
        </values>
      </ddeItem>
      <ddeItem name="1802.TW-PreTotalVolumeRate" advise="1">
        <values>
          <value>
            <val>0.35</val>
          </value>
        </values>
      </ddeItem>
      <ddeItem name="1802.TW-Price" advise="1">
        <values>
          <value>
            <val>27.1</val>
          </value>
        </values>
      </ddeItem>
      <ddeItem name="1802.TW-PriceChangeRatio" advise="1">
        <values>
          <value>
            <val>-2.34</val>
          </value>
        </values>
      </ddeItem>
      <ddeItem name="1802.TW-Time" advise="1">
        <values>
          <value t="str">
            <val>10:15:15</val>
          </value>
        </values>
      </ddeItem>
      <ddeItem name="1802.TW-VolumeRatio" advise="1">
        <values>
          <value>
            <val>0.82</val>
          </value>
        </values>
      </ddeItem>
      <ddeItem name="1806.TW-5DayAvgVol" advise="1">
        <values>
          <value>
            <val>873</val>
          </value>
        </values>
      </ddeItem>
      <ddeItem name="1806.TW-AvgPrice" advise="1">
        <values>
          <value>
            <val>10.68</val>
          </value>
        </values>
      </ddeItem>
      <ddeItem name="1806.TW-Capital" advise="1">
        <values>
          <value t="str">
            <val>43.38</val>
          </value>
        </values>
      </ddeItem>
      <ddeItem name="1806.TW-DLOrderValueDiffRatio" advise="1">
        <values>
          <value>
            <val>0</val>
          </value>
        </values>
      </ddeItem>
      <ddeItem name="1806.TW-DXLOrderOutValueRatio" advise="1">
        <values>
          <value>
            <val>0</val>
          </value>
        </values>
      </ddeItem>
      <ddeItem name="1806.TW-DXLOrderValueDiffRatio" advise="1">
        <values>
          <value>
            <val>0</val>
          </value>
        </values>
      </ddeItem>
      <ddeItem name="1806.TW-ExchangeIndustry" advise="1">
        <values>
          <value t="str">
            <val>上市玻璃陶瓷</val>
          </value>
        </values>
      </ddeItem>
      <ddeItem name="1806.TW-ID" advise="1">
        <values>
          <value t="str">
            <val>1806</val>
          </value>
        </values>
      </ddeItem>
      <ddeItem name="1806.TW-InOutRatioNumber" advise="1">
        <values>
          <value t="str">
            <val>71.43%</val>
          </value>
        </values>
      </ddeItem>
      <ddeItem name="1806.TW-Name" advise="1">
        <values>
          <value t="str">
            <val>冠軍</val>
          </value>
        </values>
      </ddeItem>
      <ddeItem name="1806.TW-PreTotalVolumeRate" advise="1">
        <values>
          <value>
            <val>0.11</val>
          </value>
        </values>
      </ddeItem>
      <ddeItem name="1806.TW-Price" advise="1">
        <values>
          <value>
            <val>10.7</val>
          </value>
        </values>
      </ddeItem>
      <ddeItem name="1806.TW-PriceChangeRatio" advise="1">
        <values>
          <value>
            <val>0.94</val>
          </value>
        </values>
      </ddeItem>
      <ddeItem name="1806.TW-Time" advise="1">
        <values>
          <value t="str">
            <val>10:13:29</val>
          </value>
        </values>
      </ddeItem>
      <ddeItem name="1806.TW-VolumeRatio" advise="1">
        <values>
          <value>
            <val>0.32</val>
          </value>
        </values>
      </ddeItem>
      <ddeItem name="1809.TW-5DayAvgVol" advise="1">
        <values>
          <value>
            <val>3948</val>
          </value>
        </values>
      </ddeItem>
      <ddeItem name="1809.TW-AvgPrice" advise="1">
        <values>
          <value>
            <val>14.22</val>
          </value>
        </values>
      </ddeItem>
      <ddeItem name="1809.TW-Capital" advise="1">
        <values>
          <value t="str">
            <val>16.70</val>
          </value>
        </values>
      </ddeItem>
      <ddeItem name="1809.TW-DLOrderValueDiffRatio" advise="1">
        <values>
          <value>
            <val>-16.52</val>
          </value>
        </values>
      </ddeItem>
      <ddeItem name="1809.TW-DXLOrderOutValueRatio" advise="1">
        <values>
          <value>
            <val>0</val>
          </value>
        </values>
      </ddeItem>
      <ddeItem name="1809.TW-DXLOrderValueDiffRatio" advise="1">
        <values>
          <value>
            <val>0</val>
          </value>
        </values>
      </ddeItem>
      <ddeItem name="1809.TW-ExchangeIndustry" advise="1">
        <values>
          <value t="str">
            <val>上市玻璃陶瓷</val>
          </value>
        </values>
      </ddeItem>
      <ddeItem name="1809.TW-ID" advise="1">
        <values>
          <value t="str">
            <val>1809</val>
          </value>
        </values>
      </ddeItem>
      <ddeItem name="1809.TW-InOutRatioNumber" advise="1">
        <values>
          <value t="str">
            <val>37.90%</val>
          </value>
        </values>
      </ddeItem>
      <ddeItem name="1809.TW-Name" advise="1">
        <values>
          <value t="str">
            <val>中釉</val>
          </value>
        </values>
      </ddeItem>
      <ddeItem name="1809.TW-PreTotalVolumeRate" advise="1">
        <values>
          <value>
            <val>0.06</val>
          </value>
        </values>
      </ddeItem>
      <ddeItem name="1809.TW-Price" advise="1">
        <values>
          <value>
            <val>14.25</val>
          </value>
        </values>
      </ddeItem>
      <ddeItem name="1809.TW-PriceChangeRatio" advise="1">
        <values>
          <value>
            <val>0</val>
          </value>
        </values>
      </ddeItem>
      <ddeItem name="1809.TW-Time" advise="1">
        <values>
          <value t="str">
            <val>10:11:13</val>
          </value>
        </values>
      </ddeItem>
      <ddeItem name="1809.TW-VolumeRatio" advise="1">
        <values>
          <value>
            <val>0.13</val>
          </value>
        </values>
      </ddeItem>
      <ddeItem name="1810.TW-5DayAvgVol" advise="1">
        <values>
          <value>
            <val>3760</val>
          </value>
        </values>
      </ddeItem>
      <ddeItem name="1810.TW-AvgPrice" advise="1">
        <values>
          <value>
            <val>12.83</val>
          </value>
        </values>
      </ddeItem>
      <ddeItem name="1810.TW-Capital" advise="1">
        <values>
          <value t="str">
            <val>36.99</val>
          </value>
        </values>
      </ddeItem>
      <ddeItem name="1810.TW-DLOrderValueDiffRatio" advise="1">
        <values>
          <value>
            <val>-10.33</val>
          </value>
        </values>
      </ddeItem>
      <ddeItem name="1810.TW-DXLOrderOutValueRatio" advise="1">
        <values>
          <value>
            <val>0</val>
          </value>
        </values>
      </ddeItem>
      <ddeItem name="1810.TW-DXLOrderValueDiffRatio" advise="1">
        <values>
          <value>
            <val>-16.850000000000001</val>
          </value>
        </values>
      </ddeItem>
      <ddeItem name="1810.TW-ExchangeIndustry" advise="1">
        <values>
          <value t="str">
            <val>上市玻璃陶瓷</val>
          </value>
        </values>
      </ddeItem>
      <ddeItem name="1810.TW-ID" advise="1">
        <values>
          <value t="str">
            <val>1810</val>
          </value>
        </values>
      </ddeItem>
      <ddeItem name="1810.TW-InOutRatioNumber" advise="1">
        <values>
          <value t="str">
            <val>30.57%</val>
          </value>
        </values>
      </ddeItem>
      <ddeItem name="1810.TW-Name" advise="1">
        <values>
          <value t="str">
            <val>和成</val>
          </value>
        </values>
      </ddeItem>
      <ddeItem name="1810.TW-PreTotalVolumeRate" advise="1">
        <values>
          <value>
            <val>1.42</val>
          </value>
        </values>
      </ddeItem>
      <ddeItem name="1810.TW-Price" advise="1">
        <values>
          <value>
            <val>12.75</val>
          </value>
        </values>
      </ddeItem>
      <ddeItem name="1810.TW-PriceChangeRatio" advise="1">
        <values>
          <value>
            <val>-4.1399999999999997</val>
          </value>
        </values>
      </ddeItem>
      <ddeItem name="1810.TW-Time" advise="1">
        <values>
          <value t="str">
            <val>10:14:31</val>
          </value>
        </values>
      </ddeItem>
      <ddeItem name="1810.TW-VolumeRatio" advise="1">
        <values>
          <value>
            <val>3.62</val>
          </value>
        </values>
      </ddeItem>
      <ddeItem name="1817.TW-5DayAvgVol" advise="1">
        <values>
          <value>
            <val>26</val>
          </value>
        </values>
      </ddeItem>
      <ddeItem name="1817.TW-AvgPrice" advise="1">
        <values>
          <value>
            <val>34.950000000000003</val>
          </value>
        </values>
      </ddeItem>
      <ddeItem name="1817.TW-Capital" advise="1">
        <values>
          <value t="str">
            <val>7.26</val>
          </value>
        </values>
      </ddeItem>
      <ddeItem name="1817.TW-DLOrderValueDiffRatio" advise="1">
        <values>
          <value>
            <val>0</val>
          </value>
        </values>
      </ddeItem>
      <ddeItem name="1817.TW-DXLOrderOutValueRatio" advise="1">
        <values>
          <value>
            <val>0</val>
          </value>
        </values>
      </ddeItem>
      <ddeItem name="1817.TW-DXLOrderValueDiffRatio" advise="1">
        <values>
          <value>
            <val>0</val>
          </value>
        </values>
      </ddeItem>
      <ddeItem name="1817.TW-ExchangeIndustry" advise="1">
        <values>
          <value t="str">
            <val>上市玻璃陶瓷</val>
          </value>
        </values>
      </ddeItem>
      <ddeItem name="1817.TW-ID" advise="1">
        <values>
          <value t="str">
            <val>1817</val>
          </value>
        </values>
      </ddeItem>
      <ddeItem name="1817.TW-InOutRatioNumber" advise="1">
        <values>
          <value t="str">
            <val>0.00%</val>
          </value>
        </values>
      </ddeItem>
      <ddeItem name="1817.TW-Name" advise="1">
        <values>
          <value t="str">
            <val>凱撒衛</val>
          </value>
        </values>
      </ddeItem>
      <ddeItem name="1817.TW-PreTotalVolumeRate" advise="1">
        <values>
          <value>
            <val>0.32</val>
          </value>
        </values>
      </ddeItem>
      <ddeItem name="1817.TW-Price" advise="1">
        <values>
          <value>
            <val>34.9</val>
          </value>
        </values>
      </ddeItem>
      <ddeItem name="1817.TW-PriceChangeRatio" advise="1">
        <values>
          <value>
            <val>0</val>
          </value>
        </values>
      </ddeItem>
      <ddeItem name="1817.TW-Time" advise="1">
        <values>
          <value t="str">
            <val>10:04:43</val>
          </value>
        </values>
      </ddeItem>
      <ddeItem name="1817.TW-VolumeRatio" advise="1">
        <values>
          <value>
            <val>1.58</val>
          </value>
        </values>
      </ddeItem>
      <ddeItem name="1903.TW-5DayAvgVol" advise="1">
        <values>
          <value>
            <val>324</val>
          </value>
        </values>
      </ddeItem>
      <ddeItem name="1903.TW-AvgPrice" advise="1">
        <values>
          <value>
            <val>67.62</val>
          </value>
        </values>
      </ddeItem>
      <ddeItem name="1903.TW-Capital" advise="1">
        <values>
          <value t="str">
            <val>26.00</val>
          </value>
        </values>
      </ddeItem>
      <ddeItem name="1903.TW-DLOrderValueDiffRatio" advise="1">
        <values>
          <value>
            <val>14.11</val>
          </value>
        </values>
      </ddeItem>
      <ddeItem name="1903.TW-DXLOrderOutValueRatio" advise="1">
        <values>
          <value>
            <val>23.8</val>
          </value>
        </values>
      </ddeItem>
      <ddeItem name="1903.TW-DXLOrderValueDiffRatio" advise="1">
        <values>
          <value>
            <val>23.8</val>
          </value>
        </values>
      </ddeItem>
      <ddeItem name="1903.TW-ExchangeIndustry" advise="1">
        <values>
          <value t="str">
            <val>上市造紙</val>
          </value>
        </values>
      </ddeItem>
      <ddeItem name="1903.TW-ID" advise="1">
        <values>
          <value t="str">
            <val>1903</val>
          </value>
        </values>
      </ddeItem>
      <ddeItem name="1903.TW-InOutRatioNumber" advise="1">
        <values>
          <value t="str">
            <val>61.90%</val>
          </value>
        </values>
      </ddeItem>
      <ddeItem name="1903.TW-Name" advise="1">
        <values>
          <value t="str">
            <val>士紙</val>
          </value>
        </values>
      </ddeItem>
      <ddeItem name="1903.TW-PreTotalVolumeRate" advise="1">
        <values>
          <value>
            <val>0.46</val>
          </value>
        </values>
      </ddeItem>
      <ddeItem name="1903.TW-Price" advise="1">
        <values>
          <value>
            <val>67.2</val>
          </value>
        </values>
      </ddeItem>
      <ddeItem name="1903.TW-PriceChangeRatio" advise="1">
        <values>
          <value>
            <val>0.3</val>
          </value>
        </values>
      </ddeItem>
      <ddeItem name="1903.TW-Time" advise="1">
        <values>
          <value t="str">
            <val>10:09:09</val>
          </value>
        </values>
      </ddeItem>
      <ddeItem name="1903.TW-VolumeRatio" advise="1">
        <values>
          <value>
            <val>1.54</val>
          </value>
        </values>
      </ddeItem>
      <ddeItem name="1904.TW-5DayAvgVol" advise="1">
        <values>
          <value>
            <val>2960</val>
          </value>
        </values>
      </ddeItem>
      <ddeItem name="1904.TW-AvgPrice" advise="1">
        <values>
          <value>
            <val>34.630000000000003</val>
          </value>
        </values>
      </ddeItem>
      <ddeItem name="1904.TW-Capital" advise="1">
        <values>
          <value t="str">
            <val>110.83</val>
          </value>
        </values>
      </ddeItem>
      <ddeItem name="1904.TW-DLOrderValueDiffRatio" advise="1">
        <values>
          <value>
            <val>0.86</val>
          </value>
        </values>
      </ddeItem>
      <ddeItem name="1904.TW-DXLOrderOutValueRatio" advise="1">
        <values>
          <value>
            <val>19.59</val>
          </value>
        </values>
      </ddeItem>
      <ddeItem name="1904.TW-DXLOrderValueDiffRatio" advise="1">
        <values>
          <value>
            <val>8.48</val>
          </value>
        </values>
      </ddeItem>
      <ddeItem name="1904.TW-ExchangeIndustry" advise="1">
        <values>
          <value t="str">
            <val>上市造紙</val>
          </value>
        </values>
      </ddeItem>
      <ddeItem name="1904.TW-ID" advise="1">
        <values>
          <value t="str">
            <val>1904</val>
          </value>
        </values>
      </ddeItem>
      <ddeItem name="1904.TW-InOutRatioNumber" advise="1">
        <values>
          <value t="str">
            <val>53.40%</val>
          </value>
        </values>
      </ddeItem>
      <ddeItem name="1904.TW-Name" advise="1">
        <values>
          <value t="str">
            <val>正隆</val>
          </value>
        </values>
      </ddeItem>
      <ddeItem name="1904.TW-PreTotalVolumeRate" advise="1">
        <values>
          <value>
            <val>0.73</val>
          </value>
        </values>
      </ddeItem>
      <ddeItem name="1904.TW-Price" advise="1">
        <values>
          <value>
            <val>34.6</val>
          </value>
        </values>
      </ddeItem>
      <ddeItem name="1904.TW-PriceChangeRatio" advise="1">
        <values>
          <value>
            <val>2.06</val>
          </value>
        </values>
      </ddeItem>
      <ddeItem name="1904.TW-Time" advise="1">
        <values>
          <value t="str">
            <val>10:15:11</val>
          </value>
        </values>
      </ddeItem>
      <ddeItem name="1904.TW-VolumeRatio" advise="1">
        <values>
          <value>
            <val>1.88</val>
          </value>
        </values>
      </ddeItem>
      <ddeItem name="1905.TW-5DayAvgVol" advise="1">
        <values>
          <value>
            <val>4836</val>
          </value>
        </values>
      </ddeItem>
      <ddeItem name="1905.TW-AvgPrice" advise="1">
        <values>
          <value>
            <val>22.71</val>
          </value>
        </values>
      </ddeItem>
      <ddeItem name="1905.TW-Capital" advise="1">
        <values>
          <value t="str">
            <val>110.28</val>
          </value>
        </values>
      </ddeItem>
      <ddeItem name="1905.TW-DLOrderValueDiffRatio" advise="1">
        <values>
          <value>
            <val>-5.36</val>
          </value>
        </values>
      </ddeItem>
      <ddeItem name="1905.TW-DXLOrderOutValueRatio" advise="1">
        <values>
          <value>
            <val>12.19</val>
          </value>
        </values>
      </ddeItem>
      <ddeItem name="1905.TW-DXLOrderValueDiffRatio" advise="1">
        <values>
          <value>
            <val>5.86</val>
          </value>
        </values>
      </ddeItem>
      <ddeItem name="1905.TW-ExchangeIndustry" advise="1">
        <values>
          <value t="str">
            <val>上市造紙</val>
          </value>
        </values>
      </ddeItem>
      <ddeItem name="1905.TW-ID" advise="1">
        <values>
          <value t="str">
            <val>1905</val>
          </value>
        </values>
      </ddeItem>
      <ddeItem name="1905.TW-InOutRatioNumber" advise="1">
        <values>
          <value t="str">
            <val>49.13%</val>
          </value>
        </values>
      </ddeItem>
      <ddeItem name="1905.TW-Name" advise="1">
        <values>
          <value t="str">
            <val>華紙</val>
          </value>
        </values>
      </ddeItem>
      <ddeItem name="1905.TW-PreTotalVolumeRate" advise="1">
        <values>
          <value>
            <val>1.81</val>
          </value>
        </values>
      </ddeItem>
      <ddeItem name="1905.TW-Price" advise="1">
        <values>
          <value>
            <val>22.4</val>
          </value>
        </values>
      </ddeItem>
      <ddeItem name="1905.TW-PriceChangeRatio" advise="1">
        <values>
          <value>
            <val>1.59</val>
          </value>
        </values>
      </ddeItem>
      <ddeItem name="1905.TW-Time" advise="1">
        <values>
          <value t="str">
            <val>10:15:14</val>
          </value>
        </values>
      </ddeItem>
      <ddeItem name="1905.TW-VolumeRatio" advise="1">
        <values>
          <value>
            <val>3.95</val>
          </value>
        </values>
      </ddeItem>
      <ddeItem name="1906.TW-5DayAvgVol" advise="1">
        <values>
          <value>
            <val>1121</val>
          </value>
        </values>
      </ddeItem>
      <ddeItem name="1906.TW-AvgPrice" advise="1">
        <values>
          <value>
            <val>20.39</val>
          </value>
        </values>
      </ddeItem>
      <ddeItem name="1906.TW-Capital" advise="1">
        <values>
          <value t="str">
            <val>15.10</val>
          </value>
        </values>
      </ddeItem>
      <ddeItem name="1906.TW-DLOrderValueDiffRatio" advise="1">
        <values>
          <value>
            <val>-7.25</val>
          </value>
        </values>
      </ddeItem>
      <ddeItem name="1906.TW-DXLOrderOutValueRatio" advise="1">
        <values>
          <value>
            <val>0</val>
          </value>
        </values>
      </ddeItem>
      <ddeItem name="1906.TW-DXLOrderValueDiffRatio" advise="1">
        <values>
          <value>
            <val>0</val>
          </value>
        </values>
      </ddeItem>
      <ddeItem name="1906.TW-ExchangeIndustry" advise="1">
        <values>
          <value t="str">
            <val>上市造紙</val>
          </value>
        </values>
      </ddeItem>
      <ddeItem name="1906.TW-ID" advise="1">
        <values>
          <value t="str">
            <val>1906</val>
          </value>
        </values>
      </ddeItem>
      <ddeItem name="1906.TW-InOutRatioNumber" advise="1">
        <values>
          <value t="str">
            <val>49.10%</val>
          </value>
        </values>
      </ddeItem>
      <ddeItem name="1906.TW-Name" advise="1">
        <values>
          <value t="str">
            <val>寶隆</val>
          </value>
        </values>
      </ddeItem>
      <ddeItem name="1906.TW-PreTotalVolumeRate" advise="1">
        <values>
          <value>
            <val>0.28999999999999998</val>
          </value>
        </values>
      </ddeItem>
      <ddeItem name="1906.TW-Price" advise="1">
        <values>
          <value>
            <val>20.399999999999999</val>
          </value>
        </values>
      </ddeItem>
      <ddeItem name="1906.TW-PriceChangeRatio" advise="1">
        <values>
          <value>
            <val>1.49</val>
          </value>
        </values>
      </ddeItem>
      <ddeItem name="1906.TW-Time" advise="1">
        <values>
          <value t="str">
            <val>10:13:17</val>
          </value>
        </values>
      </ddeItem>
      <ddeItem name="1906.TW-VolumeRatio" advise="1">
        <values>
          <value>
            <val>0.95</val>
          </value>
        </values>
      </ddeItem>
      <ddeItem name="1907.TW-5DayAvgVol" advise="1">
        <values>
          <value>
            <val>3030</val>
          </value>
        </values>
      </ddeItem>
      <ddeItem name="1907.TW-AvgPrice" advise="1">
        <values>
          <value>
            <val>31.97</val>
          </value>
        </values>
      </ddeItem>
      <ddeItem name="1907.TW-Capital" advise="1">
        <values>
          <value t="str">
            <val>166.04</val>
          </value>
        </values>
      </ddeItem>
      <ddeItem name="1907.TW-DLOrderValueDiffRatio" advise="1">
        <values>
          <value>
            <val>-5.89</val>
          </value>
        </values>
      </ddeItem>
      <ddeItem name="1907.TW-DXLOrderOutValueRatio" advise="1">
        <values>
          <value>
            <val>15.51</val>
          </value>
        </values>
      </ddeItem>
      <ddeItem name="1907.TW-DXLOrderValueDiffRatio" advise="1">
        <values>
          <value>
            <val>1.4</val>
          </value>
        </values>
      </ddeItem>
      <ddeItem name="1907.TW-ExchangeIndustry" advise="1">
        <values>
          <value t="str">
            <val>上市造紙</val>
          </value>
        </values>
      </ddeItem>
      <ddeItem name="1907.TW-ID" advise="1">
        <values>
          <value t="str">
            <val>1907</val>
          </value>
        </values>
      </ddeItem>
      <ddeItem name="1907.TW-InOutRatioNumber" advise="1">
        <values>
          <value t="str">
            <val>43.39%</val>
          </value>
        </values>
      </ddeItem>
      <ddeItem name="1907.TW-Name" advise="1">
        <values>
          <value t="str">
            <val>永豐餘</val>
          </value>
        </values>
      </ddeItem>
      <ddeItem name="1907.TW-PreTotalVolumeRate" advise="1">
        <values>
          <value>
            <val>1.1499999999999999</val>
          </value>
        </values>
      </ddeItem>
      <ddeItem name="1907.TW-Price" advise="1">
        <values>
          <value>
            <val>31.55</val>
          </value>
        </values>
      </ddeItem>
      <ddeItem name="1907.TW-PriceChangeRatio" advise="1">
        <values>
          <value>
            <val>0.48</val>
          </value>
        </values>
      </ddeItem>
      <ddeItem name="1907.TW-Time" advise="1">
        <values>
          <value t="str">
            <val>10:15:10</val>
          </value>
        </values>
      </ddeItem>
      <ddeItem name="1907.TW-VolumeRatio" advise="1">
        <values>
          <value>
            <val>2.76</val>
          </value>
        </values>
      </ddeItem>
      <ddeItem name="1909.TW-5DayAvgVol" advise="1">
        <values>
          <value>
            <val>10201</val>
          </value>
        </values>
      </ddeItem>
      <ddeItem name="1909.TW-AvgPrice" advise="1">
        <values>
          <value>
            <val>24.17</val>
          </value>
        </values>
      </ddeItem>
      <ddeItem name="1909.TW-Capital" advise="1">
        <values>
          <value t="str">
            <val>127.77</val>
          </value>
        </values>
      </ddeItem>
      <ddeItem name="1909.TW-DLOrderValueDiffRatio" advise="1">
        <values>
          <value>
            <val>-5.31</val>
          </value>
        </values>
      </ddeItem>
      <ddeItem name="1909.TW-DXLOrderOutValueRatio" advise="1">
        <values>
          <value>
            <val>15.46</val>
          </value>
        </values>
      </ddeItem>
      <ddeItem name="1909.TW-DXLOrderValueDiffRatio" advise="1">
        <values>
          <value>
            <val>-3.19</val>
          </value>
        </values>
      </ddeItem>
      <ddeItem name="1909.TW-ExchangeIndustry" advise="1">
        <values>
          <value t="str">
            <val>上市造紙</val>
          </value>
        </values>
      </ddeItem>
      <ddeItem name="1909.TW-ID" advise="1">
        <values>
          <value t="str">
            <val>1909</val>
          </value>
        </values>
      </ddeItem>
      <ddeItem name="1909.TW-InOutRatioNumber" advise="1">
        <values>
          <value t="str">
            <val>46.07%</val>
          </value>
        </values>
      </ddeItem>
      <ddeItem name="1909.TW-Name" advise="1">
        <values>
          <value t="str">
            <val>榮成</val>
          </value>
        </values>
      </ddeItem>
      <ddeItem name="1909.TW-PreTotalVolumeRate" advise="1">
        <values>
          <value>
            <val>0.88</val>
          </value>
        </values>
      </ddeItem>
      <ddeItem name="1909.TW-Price" advise="1">
        <values>
          <value>
            <val>24</val>
          </value>
        </values>
      </ddeItem>
      <ddeItem name="1909.TW-PriceChangeRatio" advise="1">
        <values>
          <value>
            <val>1.69</val>
          </value>
        </values>
      </ddeItem>
      <ddeItem name="1909.TW-Time" advise="1">
        <values>
          <value t="str">
            <val>10:15:12</val>
          </value>
        </values>
      </ddeItem>
      <ddeItem name="1909.TW-VolumeRatio" advise="1">
        <values>
          <value>
            <val>2.36</val>
          </value>
        </values>
      </ddeItem>
      <ddeItem name="2002.TW-5DayAvgVol" advise="1">
        <values>
          <value>
            <val>81692</val>
          </value>
        </values>
      </ddeItem>
      <ddeItem name="2002.TW-AvgPrice" advise="1">
        <values>
          <value>
            <val>33.590000000000003</val>
          </value>
        </values>
      </ddeItem>
      <ddeItem name="2002.TW-Capital" advise="1">
        <values>
          <value t="str">
            <val>1573.49</val>
          </value>
        </values>
      </ddeItem>
      <ddeItem name="2002.TW-DLOrderValueDiffRatio" advise="1">
        <values>
          <value>
            <val>-0.68</val>
          </value>
        </values>
      </ddeItem>
      <ddeItem name="2002.TW-DXLOrderOutValueRatio" advise="1">
        <values>
          <value>
            <val>28.73</val>
          </value>
        </values>
      </ddeItem>
      <ddeItem name="2002.TW-DXLOrderValueDiffRatio" advise="1">
        <values>
          <value>
            <val>-0.37</val>
          </value>
        </values>
      </ddeItem>
      <ddeItem name="2002.TW-ExchangeIndustry" advise="1">
        <values>
          <value t="str">
            <val>上市鋼鐵</val>
          </value>
        </values>
      </ddeItem>
      <ddeItem name="2002.TW-ID" advise="1">
        <values>
          <value t="str">
            <val>2002</val>
          </value>
        </values>
      </ddeItem>
      <ddeItem name="2002.TW-InOutRatioNumber" advise="1">
        <values>
          <value t="str">
            <val>46.98%</val>
          </value>
        </values>
      </ddeItem>
      <ddeItem name="2002.TW-Name" advise="1">
        <values>
          <value t="str">
            <val>中鋼</val>
          </value>
        </values>
      </ddeItem>
      <ddeItem name="2002.TW-PreTotalVolumeRate" advise="1">
        <values>
          <value>
            <val>0.46</val>
          </value>
        </values>
      </ddeItem>
      <ddeItem name="2002.TW-Price" advise="1">
        <values>
          <value>
            <val>33.450000000000003</val>
          </value>
        </values>
      </ddeItem>
      <ddeItem name="2002.TW-PriceChangeRatio" advise="1">
        <values>
          <value>
            <val>0.75</val>
          </value>
        </values>
      </ddeItem>
      <ddeItem name="2002.TW-Time" advise="1">
        <values>
          <value t="str">
            <val>10:15:15</val>
          </value>
        </values>
      </ddeItem>
      <ddeItem name="2002.TW-VolumeRatio" advise="1">
        <values>
          <value>
            <val>1.1200000000000001</val>
          </value>
        </values>
      </ddeItem>
      <ddeItem name="2006.TW-5DayAvgVol" advise="1">
        <values>
          <value>
            <val>3946</val>
          </value>
        </values>
      </ddeItem>
      <ddeItem name="2006.TW-AvgPrice" advise="1">
        <values>
          <value>
            <val>39.24</val>
          </value>
        </values>
      </ddeItem>
      <ddeItem name="2006.TW-Capital" advise="1">
        <values>
          <value t="str">
            <val>108.99</val>
          </value>
        </values>
      </ddeItem>
      <ddeItem name="2006.TW-DLOrderValueDiffRatio" advise="1">
        <values>
          <value>
            <val>4.84</val>
          </value>
        </values>
      </ddeItem>
      <ddeItem name="2006.TW-DXLOrderOutValueRatio" advise="1">
        <values>
          <value>
            <val>17.48</val>
          </value>
        </values>
      </ddeItem>
      <ddeItem name="2006.TW-DXLOrderValueDiffRatio" advise="1">
        <values>
          <value>
            <val>15.67</val>
          </value>
        </values>
      </ddeItem>
      <ddeItem name="2006.TW-ExchangeIndustry" advise="1">
        <values>
          <value t="str">
            <val>上市鋼鐵</val>
          </value>
        </values>
      </ddeItem>
      <ddeItem name="2006.TW-ID" advise="1">
        <values>
          <value t="str">
            <val>2006</val>
          </value>
        </values>
      </ddeItem>
      <ddeItem name="2006.TW-InOutRatioNumber" advise="1">
        <values>
          <value t="str">
            <val>63.09%</val>
          </value>
        </values>
      </ddeItem>
      <ddeItem name="2006.TW-Name" advise="1">
        <values>
          <value t="str">
            <val>東和鋼鐵</val>
          </value>
        </values>
      </ddeItem>
      <ddeItem name="2006.TW-PreTotalVolumeRate" advise="1">
        <values>
          <value>
            <val>0.75</val>
          </value>
        </values>
      </ddeItem>
      <ddeItem name="2006.TW-Price" advise="1">
        <values>
          <value>
            <val>39.049999999999997</val>
          </value>
        </values>
      </ddeItem>
      <ddeItem name="2006.TW-PriceChangeRatio" advise="1">
        <values>
          <value>
            <val>0.9</val>
          </value>
        </values>
      </ddeItem>
      <ddeItem name="2006.TW-Time" advise="1">
        <values>
          <value t="str">
            <val>10:15:18</val>
          </value>
        </values>
      </ddeItem>
      <ddeItem name="2006.TW-VolumeRatio" advise="1">
        <values>
          <value>
            <val>2.1</val>
          </value>
        </values>
      </ddeItem>
      <ddeItem name="2007.TW-5DayAvgVol" advise="1">
        <values>
          <value>
            <val>6436</val>
          </value>
        </values>
      </ddeItem>
      <ddeItem name="2007.TW-AvgPrice" advise="1">
        <values>
          <value>
            <val>23.98</val>
          </value>
        </values>
      </ddeItem>
      <ddeItem name="2007.TW-Capital" advise="1">
        <values>
          <value t="str">
            <val>53.07</val>
          </value>
        </values>
      </ddeItem>
      <ddeItem name="2007.TW-DLOrderValueDiffRatio" advise="1">
        <values>
          <value>
            <val>-5.34</val>
          </value>
        </values>
      </ddeItem>
      <ddeItem name="2007.TW-DXLOrderOutValueRatio" advise="1">
        <values>
          <value>
            <val>13.8</val>
          </value>
        </values>
      </ddeItem>
      <ddeItem name="2007.TW-DXLOrderValueDiffRatio" advise="1">
        <values>
          <value>
            <val>13.8</val>
          </value>
        </values>
      </ddeItem>
      <ddeItem name="2007.TW-ExchangeIndustry" advise="1">
        <values>
          <value t="str">
            <val>上市鋼鐵</val>
          </value>
        </values>
      </ddeItem>
      <ddeItem name="2007.TW-ID" advise="1">
        <values>
          <value t="str">
            <val>2007</val>
          </value>
        </values>
      </ddeItem>
      <ddeItem name="2007.TW-InOutRatioNumber" advise="1">
        <values>
          <value t="str">
            <val>47.87%</val>
          </value>
        </values>
      </ddeItem>
      <ddeItem name="2007.TW-Name" advise="1">
        <values>
          <value t="str">
            <val>燁興</val>
          </value>
        </values>
      </ddeItem>
      <ddeItem name="2007.TW-PreTotalVolumeRate" advise="1">
        <values>
          <value>
            <val>0.46</val>
          </value>
        </values>
      </ddeItem>
      <ddeItem name="2007.TW-Price" advise="1">
        <values>
          <value>
            <val>23.7</val>
          </value>
        </values>
      </ddeItem>
      <ddeItem name="2007.TW-PriceChangeRatio" advise="1">
        <values>
          <value>
            <val>-0.84</val>
          </value>
        </values>
      </ddeItem>
      <ddeItem name="2007.TW-Time" advise="1">
        <values>
          <value t="str">
            <val>10:15:14</val>
          </value>
        </values>
      </ddeItem>
      <ddeItem name="2007.TW-VolumeRatio" advise="1">
        <values>
          <value>
            <val>0.94</val>
          </value>
        </values>
      </ddeItem>
      <ddeItem name="2008.TW-5DayAvgVol" advise="1">
        <values>
          <value>
            <val>281</val>
          </value>
        </values>
      </ddeItem>
      <ddeItem name="2008.TW-AvgPrice" advise="1">
        <values>
          <value>
            <val>18.68</val>
          </value>
        </values>
      </ddeItem>
      <ddeItem name="2008.TW-Capital" advise="1">
        <values>
          <value t="str">
            <val>20.09</val>
          </value>
        </values>
      </ddeItem>
      <ddeItem name="2008.TW-DLOrderValueDiffRatio" advise="1">
        <values>
          <value>
            <val>0</val>
          </value>
        </values>
      </ddeItem>
      <ddeItem name="2008.TW-DXLOrderOutValueRatio" advise="1">
        <values>
          <value>
            <val>0</val>
          </value>
        </values>
      </ddeItem>
      <ddeItem name="2008.TW-DXLOrderValueDiffRatio" advise="1">
        <values>
          <value>
            <val>0</val>
          </value>
        </values>
      </ddeItem>
      <ddeItem name="2008.TW-ExchangeIndustry" advise="1">
        <values>
          <value t="str">
            <val>上市鋼鐵</val>
          </value>
        </values>
      </ddeItem>
      <ddeItem name="2008.TW-ID" advise="1">
        <values>
          <value t="str">
            <val>2008</val>
          </value>
        </values>
      </ddeItem>
      <ddeItem name="2008.TW-InOutRatioNumber" advise="1">
        <values>
          <value t="str">
            <val>48.19%</val>
          </value>
        </values>
      </ddeItem>
      <ddeItem name="2008.TW-Name" advise="1">
        <values>
          <value t="str">
            <val>高興昌</val>
          </value>
        </values>
      </ddeItem>
      <ddeItem name="2008.TW-PreTotalVolumeRate" advise="1">
        <values>
          <value>
            <val>0.49</val>
          </value>
        </values>
      </ddeItem>
      <ddeItem name="2008.TW-Price" advise="1">
        <values>
          <value>
            <val>18.649999999999999</val>
          </value>
        </values>
      </ddeItem>
      <ddeItem name="2008.TW-PriceChangeRatio" advise="1">
        <values>
          <value>
            <val>1.08</val>
          </value>
        </values>
      </ddeItem>
      <ddeItem name="2008.TW-Time" advise="1">
        <values>
          <value t="str">
            <val>10:10:41</val>
          </value>
        </values>
      </ddeItem>
      <ddeItem name="2008.TW-VolumeRatio" advise="1">
        <values>
          <value>
            <val>1.34</val>
          </value>
        </values>
      </ddeItem>
      <ddeItem name="2009.TW-5DayAvgVol" advise="1">
        <values>
          <value>
            <val>5692</val>
          </value>
        </values>
      </ddeItem>
      <ddeItem name="2009.TW-AvgPrice" advise="1">
        <values>
          <value>
            <val>50.52</val>
          </value>
        </values>
      </ddeItem>
      <ddeItem name="2009.TW-Capital" advise="1">
        <values>
          <value t="str">
            <val>35.96</val>
          </value>
        </values>
      </ddeItem>
      <ddeItem name="2009.TW-DLOrderValueDiffRatio" advise="1">
        <values>
          <value>
            <val>-1.66</val>
          </value>
        </values>
      </ddeItem>
      <ddeItem name="2009.TW-DXLOrderOutValueRatio" advise="1">
        <values>
          <value>
            <val>7.73</val>
          </value>
        </values>
      </ddeItem>
      <ddeItem name="2009.TW-DXLOrderValueDiffRatio" advise="1">
        <values>
          <value>
            <val>-10.33</val>
          </value>
        </values>
      </ddeItem>
      <ddeItem name="2009.TW-ExchangeIndustry" advise="1">
        <values>
          <value t="str">
            <val>上市鋼鐵</val>
          </value>
        </values>
      </ddeItem>
      <ddeItem name="2009.TW-ID" advise="1">
        <values>
          <value t="str">
            <val>2009</val>
          </value>
        </values>
      </ddeItem>
      <ddeItem name="2009.TW-InOutRatioNumber" advise="1">
        <values>
          <value t="str">
            <val>42.61%</val>
          </value>
        </values>
      </ddeItem>
      <ddeItem name="2009.TW-Name" advise="1">
        <values>
          <value t="str">
            <val>第一銅</val>
          </value>
        </values>
      </ddeItem>
      <ddeItem name="2009.TW-PreTotalVolumeRate" advise="1">
        <values>
          <value>
            <val>2.4</val>
          </value>
        </values>
      </ddeItem>
      <ddeItem name="2009.TW-Price" advise="1">
        <values>
          <value>
            <val>48.85</val>
          </value>
        </values>
      </ddeItem>
      <ddeItem name="2009.TW-PriceChangeRatio" advise="1">
        <values>
          <value>
            <val>0.72</val>
          </value>
        </values>
      </ddeItem>
      <ddeItem name="2009.TW-Time" advise="1">
        <values>
          <value t="str">
            <val>10:15:17</val>
          </value>
        </values>
      </ddeItem>
      <ddeItem name="2009.TW-VolumeRatio" advise="1">
        <values>
          <value>
            <val>4.38</val>
          </value>
        </values>
      </ddeItem>
      <ddeItem name="2010.TW-5DayAvgVol" advise="1">
        <values>
          <value>
            <val>2876</val>
          </value>
        </values>
      </ddeItem>
      <ddeItem name="2010.TW-AvgPrice" advise="1">
        <values>
          <value>
            <val>23.72</val>
          </value>
        </values>
      </ddeItem>
      <ddeItem name="2010.TW-Capital" advise="1">
        <values>
          <value t="str">
            <val>64.77</val>
          </value>
        </values>
      </ddeItem>
      <ddeItem name="2010.TW-DLOrderValueDiffRatio" advise="1">
        <values>
          <value>
            <val>-9.31</val>
          </value>
        </values>
      </ddeItem>
      <ddeItem name="2010.TW-DXLOrderOutValueRatio" advise="1">
        <values>
          <value>
            <val>8.66</val>
          </value>
        </values>
      </ddeItem>
      <ddeItem name="2010.TW-DXLOrderValueDiffRatio" advise="1">
        <values>
          <value>
            <val>1.49</val>
          </value>
        </values>
      </ddeItem>
      <ddeItem name="2010.TW-ExchangeIndustry" advise="1">
        <values>
          <value t="str">
            <val>上市鋼鐵</val>
          </value>
        </values>
      </ddeItem>
      <ddeItem name="2010.TW-ID" advise="1">
        <values>
          <value t="str">
            <val>2010</val>
          </value>
        </values>
      </ddeItem>
      <ddeItem name="2010.TW-InOutRatioNumber" advise="1">
        <values>
          <value t="str">
            <val>39.43%</val>
          </value>
        </values>
      </ddeItem>
      <ddeItem name="2010.TW-Name" advise="1">
        <values>
          <value t="str">
            <val>春源</val>
          </value>
        </values>
      </ddeItem>
      <ddeItem name="2010.TW-PreTotalVolumeRate" advise="1">
        <values>
          <value>
            <val>0.67</val>
          </value>
        </values>
      </ddeItem>
      <ddeItem name="2010.TW-Price" advise="1">
        <values>
          <value>
            <val>23.5</val>
          </value>
        </values>
      </ddeItem>
      <ddeItem name="2010.TW-PriceChangeRatio" advise="1">
        <values>
          <value>
            <val>-0.63</val>
          </value>
        </values>
      </ddeItem>
      <ddeItem name="2010.TW-Time" advise="1">
        <values>
          <value t="str">
            <val>10:15:14</val>
          </value>
        </values>
      </ddeItem>
      <ddeItem name="2010.TW-VolumeRatio" advise="1">
        <values>
          <value>
            <val>1.54</val>
          </value>
        </values>
      </ddeItem>
      <ddeItem name="2012.TW-5DayAvgVol" advise="1">
        <values>
          <value>
            <val>533</val>
          </value>
        </values>
      </ddeItem>
      <ddeItem name="2012.TW-AvgPrice" advise="1">
        <values>
          <value>
            <val>29.71</val>
          </value>
        </values>
      </ddeItem>
      <ddeItem name="2012.TW-Capital" advise="1">
        <values>
          <value t="str">
            <val>28.78</val>
          </value>
        </values>
      </ddeItem>
      <ddeItem name="2012.TW-DLOrderValueDiffRatio" advise="1">
        <values>
          <value>
            <val>6.46</val>
          </value>
        </values>
      </ddeItem>
      <ddeItem name="2012.TW-DXLOrderOutValueRatio" advise="1">
        <values>
          <value>
            <val>0</val>
          </value>
        </values>
      </ddeItem>
      <ddeItem name="2012.TW-DXLOrderValueDiffRatio" advise="1">
        <values>
          <value>
            <val>0</val>
          </value>
        </values>
      </ddeItem>
      <ddeItem name="2012.TW-ExchangeIndustry" advise="1">
        <values>
          <value t="str">
            <val>上市鋼鐵</val>
          </value>
        </values>
      </ddeItem>
      <ddeItem name="2012.TW-ID" advise="1">
        <values>
          <value t="str">
            <val>2012</val>
          </value>
        </values>
      </ddeItem>
      <ddeItem name="2012.TW-InOutRatioNumber" advise="1">
        <values>
          <value t="str">
            <val>44.93%</val>
          </value>
        </values>
      </ddeItem>
      <ddeItem name="2012.TW-Name" advise="1">
        <values>
          <value t="str">
            <val>春雨</val>
          </value>
        </values>
      </ddeItem>
      <ddeItem name="2012.TW-PreTotalVolumeRate" advise="1">
        <values>
          <value>
            <val>0.33</val>
          </value>
        </values>
      </ddeItem>
      <ddeItem name="2012.TW-Price" advise="1">
        <values>
          <value>
            <val>29.55</val>
          </value>
        </values>
      </ddeItem>
      <ddeItem name="2012.TW-PriceChangeRatio" advise="1">
        <values>
          <value>
            <val>0.85</val>
          </value>
        </values>
      </ddeItem>
      <ddeItem name="2012.TW-Time" advise="1">
        <values>
          <value t="str">
            <val>10:14:04</val>
          </value>
        </values>
      </ddeItem>
      <ddeItem name="2012.TW-VolumeRatio" advise="1">
        <values>
          <value>
            <val>0.89</val>
          </value>
        </values>
      </ddeItem>
      <ddeItem name="2013.TW-5DayAvgVol" advise="1">
        <values>
          <value>
            <val>3758</val>
          </value>
        </values>
      </ddeItem>
      <ddeItem name="2013.TW-AvgPrice" advise="1">
        <values>
          <value>
            <val>58.48</val>
          </value>
        </values>
      </ddeItem>
      <ddeItem name="2013.TW-Capital" advise="1">
        <values>
          <value t="str">
            <val>20.00</val>
          </value>
        </values>
      </ddeItem>
      <ddeItem name="2013.TW-DLOrderValueDiffRatio" advise="1">
        <values>
          <value>
            <val>-5.2</val>
          </value>
        </values>
      </ddeItem>
      <ddeItem name="2013.TW-DXLOrderOutValueRatio" advise="1">
        <values>
          <value>
            <val>0</val>
          </value>
        </values>
      </ddeItem>
      <ddeItem name="2013.TW-DXLOrderValueDiffRatio" advise="1">
        <values>
          <value>
            <val>-11.34</val>
          </value>
        </values>
      </ddeItem>
      <ddeItem name="2013.TW-ExchangeIndustry" advise="1">
        <values>
          <value t="str">
            <val>上市鋼鐵</val>
          </value>
        </values>
      </ddeItem>
      <ddeItem name="2013.TW-ID" advise="1">
        <values>
          <value t="str">
            <val>2013</val>
          </value>
        </values>
      </ddeItem>
      <ddeItem name="2013.TW-InOutRatioNumber" advise="1">
        <values>
          <value t="str">
            <val>33.16%</val>
          </value>
        </values>
      </ddeItem>
      <ddeItem name="2013.TW-Name" advise="1">
        <values>
          <value t="str">
            <val>中鋼構</val>
          </value>
        </values>
      </ddeItem>
      <ddeItem name="2013.TW-PreTotalVolumeRate" advise="1">
        <values>
          <value>
            <val>0.21</val>
          </value>
        </values>
      </ddeItem>
      <ddeItem name="2013.TW-Price" advise="1">
        <values>
          <value>
            <val>58.1</val>
          </value>
        </values>
      </ddeItem>
      <ddeItem name="2013.TW-PriceChangeRatio" advise="1">
        <values>
          <value>
            <val>-0.51</val>
          </value>
        </values>
      </ddeItem>
      <ddeItem name="2013.TW-Time" advise="1">
        <values>
          <value t="str">
            <val>10:14:50</val>
          </value>
        </values>
      </ddeItem>
      <ddeItem name="2013.TW-VolumeRatio" advise="1">
        <values>
          <value>
            <val>0.54</val>
          </value>
        </values>
      </ddeItem>
      <ddeItem name="2014.TW-5DayAvgVol" advise="1">
        <values>
          <value>
            <val>16458</val>
          </value>
        </values>
      </ddeItem>
      <ddeItem name="2014.TW-AvgPrice" advise="1">
        <values>
          <value>
            <val>36.47</val>
          </value>
        </values>
      </ddeItem>
      <ddeItem name="2014.TW-Capital" advise="1">
        <values>
          <value t="str">
            <val>143.55</val>
          </value>
        </values>
      </ddeItem>
      <ddeItem name="2014.TW-DLOrderValueDiffRatio" advise="1">
        <values>
          <value>
            <val>3.35</val>
          </value>
        </values>
      </ddeItem>
      <ddeItem name="2014.TW-DXLOrderOutValueRatio" advise="1">
        <values>
          <value>
            <val>15.41</val>
          </value>
        </values>
      </ddeItem>
      <ddeItem name="2014.TW-DXLOrderValueDiffRatio" advise="1">
        <values>
          <value>
            <val>-18.96</val>
          </value>
        </values>
      </ddeItem>
      <ddeItem name="2014.TW-ExchangeIndustry" advise="1">
        <values>
          <value t="str">
            <val>上市鋼鐵</val>
          </value>
        </values>
      </ddeItem>
      <ddeItem name="2014.TW-ID" advise="1">
        <values>
          <value t="str">
            <val>2014</val>
          </value>
        </values>
      </ddeItem>
      <ddeItem name="2014.TW-InOutRatioNumber" advise="1">
        <values>
          <value t="str">
            <val>40.17%</val>
          </value>
        </values>
      </ddeItem>
      <ddeItem name="2014.TW-Name" advise="1">
        <values>
          <value t="str">
            <val>中鴻</val>
          </value>
        </values>
      </ddeItem>
      <ddeItem name="2014.TW-PreTotalVolumeRate" advise="1">
        <values>
          <value>
            <val>0.71</val>
          </value>
        </values>
      </ddeItem>
      <ddeItem name="2014.TW-Price" advise="1">
        <values>
          <value>
            <val>35.799999999999997</val>
          </value>
        </values>
      </ddeItem>
      <ddeItem name="2014.TW-PriceChangeRatio" advise="1">
        <values>
          <value>
            <val>-1.38</val>
          </value>
        </values>
      </ddeItem>
      <ddeItem name="2014.TW-Time" advise="1">
        <values>
          <value t="str">
            <val>10:15:18</val>
          </value>
        </values>
      </ddeItem>
      <ddeItem name="2014.TW-VolumeRatio" advise="1">
        <values>
          <value>
            <val>1.64</val>
          </value>
        </values>
      </ddeItem>
      <ddeItem name="2015.TW-5DayAvgVol" advise="1">
        <values>
          <value>
            <val>429</val>
          </value>
        </values>
      </ddeItem>
      <ddeItem name="2015.TW-AvgPrice" advise="1">
        <values>
          <value>
            <val>76.23</val>
          </value>
        </values>
      </ddeItem>
      <ddeItem name="2015.TW-Capital" advise="1">
        <values>
          <value t="str">
            <val>58.16</val>
          </value>
        </values>
      </ddeItem>
      <ddeItem name="2015.TW-DLOrderValueDiffRatio" advise="1">
        <values>
          <value>
            <val>-18.12</val>
          </value>
        </values>
      </ddeItem>
      <ddeItem name="2015.TW-DXLOrderOutValueRatio" advise="1">
        <values>
          <value>
            <val>0</val>
          </value>
        </values>
      </ddeItem>
      <ddeItem name="2015.TW-DXLOrderValueDiffRatio" advise="1">
        <values>
          <value>
            <val>0</val>
          </value>
        </values>
      </ddeItem>
      <ddeItem name="2015.TW-ExchangeIndustry" advise="1">
        <values>
          <value t="str">
            <val>上市鋼鐵</val>
          </value>
        </values>
      </ddeItem>
      <ddeItem name="2015.TW-ID" advise="1">
        <values>
          <value t="str">
            <val>2015</val>
          </value>
        </values>
      </ddeItem>
      <ddeItem name="2015.TW-InOutRatioNumber" advise="1">
        <values>
          <value t="str">
            <val>13.73%</val>
          </value>
        </values>
      </ddeItem>
      <ddeItem name="2015.TW-Name" advise="1">
        <values>
          <value t="str">
            <val>豐興</val>
          </value>
        </values>
      </ddeItem>
      <ddeItem name="2015.TW-PreTotalVolumeRate" advise="1">
        <values>
          <value>
            <val>0.21</val>
          </value>
        </values>
      </ddeItem>
      <ddeItem name="2015.TW-Price" advise="1">
        <values>
          <value>
            <val>75.900000000000006</val>
          </value>
        </values>
      </ddeItem>
      <ddeItem name="2015.TW-PriceChangeRatio" advise="1">
        <values>
          <value>
            <val>-1.04</val>
          </value>
        </values>
      </ddeItem>
      <ddeItem name="2015.TW-Time" advise="1">
        <values>
          <value t="str">
            <val>10:13:44</val>
          </value>
        </values>
      </ddeItem>
      <ddeItem name="2015.TW-VolumeRatio" advise="1">
        <values>
          <value>
            <val>0.5</val>
          </value>
        </values>
      </ddeItem>
      <ddeItem name="2017.TW-5DayAvgVol" advise="1">
        <values>
          <value>
            <val>2273</val>
          </value>
        </values>
      </ddeItem>
      <ddeItem name="2017.TW-AvgPrice" advise="1">
        <values>
          <value>
            <val>21.1</val>
          </value>
        </values>
      </ddeItem>
      <ddeItem name="2017.TW-Capital" advise="1">
        <values>
          <value t="str">
            <val>34.19</val>
          </value>
        </values>
      </ddeItem>
      <ddeItem name="2017.TW-DLOrderValueDiffRatio" advise="1">
        <values>
          <value>
            <val>4.93</val>
          </value>
        </values>
      </ddeItem>
      <ddeItem name="2017.TW-DXLOrderOutValueRatio" advise="1">
        <values>
          <value>
            <val>9.98</val>
          </value>
        </values>
      </ddeItem>
      <ddeItem name="2017.TW-DXLOrderValueDiffRatio" advise="1">
        <values>
          <value>
            <val>9.98</val>
          </value>
        </values>
      </ddeItem>
      <ddeItem name="2017.TW-ExchangeIndustry" advise="1">
        <values>
          <value t="str">
            <val>上市鋼鐵</val>
          </value>
        </values>
      </ddeItem>
      <ddeItem name="2017.TW-ID" advise="1">
        <values>
          <value t="str">
            <val>2017</val>
          </value>
        </values>
      </ddeItem>
      <ddeItem name="2017.TW-InOutRatioNumber" advise="1">
        <values>
          <value t="str">
            <val>52.75%</val>
          </value>
        </values>
      </ddeItem>
      <ddeItem name="2017.TW-Name" advise="1">
        <values>
          <value t="str">
            <val>官田鋼</val>
          </value>
        </values>
      </ddeItem>
      <ddeItem name="2017.TW-PreTotalVolumeRate" advise="1">
        <values>
          <value>
            <val>0.5</val>
          </value>
        </values>
      </ddeItem>
      <ddeItem name="2017.TW-Price" advise="1">
        <values>
          <value>
            <val>20.95</val>
          </value>
        </values>
      </ddeItem>
      <ddeItem name="2017.TW-PriceChangeRatio" advise="1">
        <values>
          <value>
            <val>1.21</val>
          </value>
        </values>
      </ddeItem>
      <ddeItem name="2017.TW-Time" advise="1">
        <values>
          <value t="str">
            <val>10:09:50</val>
          </value>
        </values>
      </ddeItem>
      <ddeItem name="2017.TW-VolumeRatio" advise="1">
        <values>
          <value>
            <val>1.26</val>
          </value>
        </values>
      </ddeItem>
      <ddeItem name="2020.TW-5DayAvgVol" advise="1">
        <values>
          <value>
            <val>922</val>
          </value>
        </values>
      </ddeItem>
      <ddeItem name="2020.TW-AvgPrice" advise="1">
        <values>
          <value>
            <val>30.86</val>
          </value>
        </values>
      </ddeItem>
      <ddeItem name="2020.TW-Capital" advise="1">
        <values>
          <value t="str">
            <val>22.25</val>
          </value>
        </values>
      </ddeItem>
      <ddeItem name="2020.TW-DLOrderValueDiffRatio" advise="1">
        <values>
          <value>
            <val>3.45</val>
          </value>
        </values>
      </ddeItem>
      <ddeItem name="2020.TW-DXLOrderOutValueRatio" advise="1">
        <values>
          <value>
            <val>0</val>
          </value>
        </values>
      </ddeItem>
      <ddeItem name="2020.TW-DXLOrderValueDiffRatio" advise="1">
        <values>
          <value>
            <val>0</val>
          </value>
        </values>
      </ddeItem>
      <ddeItem name="2020.TW-ExchangeIndustry" advise="1">
        <values>
          <value t="str">
            <val>上市鋼鐵</val>
          </value>
        </values>
      </ddeItem>
      <ddeItem name="2020.TW-ID" advise="1">
        <values>
          <value t="str">
            <val>2020</val>
          </value>
        </values>
      </ddeItem>
      <ddeItem name="2020.TW-InOutRatioNumber" advise="1">
        <values>
          <value t="str">
            <val>52.42%</val>
          </value>
        </values>
      </ddeItem>
      <ddeItem name="2020.TW-Name" advise="1">
        <values>
          <value t="str">
            <val>美亞</val>
          </value>
        </values>
      </ddeItem>
      <ddeItem name="2020.TW-PreTotalVolumeRate" advise="1">
        <values>
          <value>
            <val>0.35</val>
          </value>
        </values>
      </ddeItem>
      <ddeItem name="2020.TW-Price" advise="1">
        <values>
          <value>
            <val>30.7</val>
          </value>
        </values>
      </ddeItem>
      <ddeItem name="2020.TW-PriceChangeRatio" advise="1">
        <values>
          <value>
            <val>0.82</val>
          </value>
        </values>
      </ddeItem>
      <ddeItem name="2020.TW-Time" advise="1">
        <values>
          <value t="str">
            <val>10:15:05</val>
          </value>
        </values>
      </ddeItem>
      <ddeItem name="2020.TW-VolumeRatio" advise="1">
        <values>
          <value>
            <val>0.9</val>
          </value>
        </values>
      </ddeItem>
      <ddeItem name="2022.TW-5DayAvgVol" advise="1">
        <values>
          <value>
            <val>4220</val>
          </value>
        </values>
      </ddeItem>
      <ddeItem name="2022.TW-AvgPrice" advise="1">
        <values>
          <value>
            <val>15.05</val>
          </value>
        </values>
      </ddeItem>
      <ddeItem name="2022.TW-Capital" advise="1">
        <values>
          <value t="str">
            <val>47.98</val>
          </value>
        </values>
      </ddeItem>
      <ddeItem name="2022.TW-DLOrderValueDiffRatio" advise="1">
        <values>
          <value>
            <val>-4.12</val>
          </value>
        </values>
      </ddeItem>
      <ddeItem name="2022.TW-DXLOrderOutValueRatio" advise="1">
        <values>
          <value>
            <val>0</val>
          </value>
        </values>
      </ddeItem>
      <ddeItem name="2022.TW-DXLOrderValueDiffRatio" advise="1">
        <values>
          <value>
            <val>-8.23</val>
          </value>
        </values>
      </ddeItem>
      <ddeItem name="2022.TW-ExchangeIndustry" advise="1">
        <values>
          <value t="str">
            <val>上市鋼鐵</val>
          </value>
        </values>
      </ddeItem>
      <ddeItem name="2022.TW-ID" advise="1">
        <values>
          <value t="str">
            <val>2022</val>
          </value>
        </values>
      </ddeItem>
      <ddeItem name="2022.TW-InOutRatioNumber" advise="1">
        <values>
          <value t="str">
            <val>36.97%</val>
          </value>
        </values>
      </ddeItem>
      <ddeItem name="2022.TW-Name" advise="1">
        <values>
          <value t="str">
            <val>聚亨</val>
          </value>
        </values>
      </ddeItem>
      <ddeItem name="2022.TW-PreTotalVolumeRate" advise="1">
        <values>
          <value>
            <val>0.48</val>
          </value>
        </values>
      </ddeItem>
      <ddeItem name="2022.TW-Price" advise="1">
        <values>
          <value>
            <val>14.75</val>
          </value>
        </values>
      </ddeItem>
      <ddeItem name="2022.TW-PriceChangeRatio" advise="1">
        <values>
          <value>
            <val>-2.3199999999999998</val>
          </value>
        </values>
      </ddeItem>
      <ddeItem name="2022.TW-Time" advise="1">
        <values>
          <value t="str">
            <val>10:15:15</val>
          </value>
        </values>
      </ddeItem>
      <ddeItem name="2022.TW-VolumeRatio" advise="1">
        <values>
          <value>
            <val>1.1200000000000001</val>
          </value>
        </values>
      </ddeItem>
      <ddeItem name="2023.TW-5DayAvgVol" advise="1">
        <values>
          <value>
            <val>17546</val>
          </value>
        </values>
      </ddeItem>
      <ddeItem name="2023.TW-AvgPrice" advise="1">
        <values>
          <value>
            <val>26.51</val>
          </value>
        </values>
      </ddeItem>
      <ddeItem name="2023.TW-Capital" advise="1">
        <values>
          <value t="str">
            <val>189.06</val>
          </value>
        </values>
      </ddeItem>
      <ddeItem name="2023.TW-DLOrderValueDiffRatio" advise="1">
        <values>
          <value>
            <val>1.07</val>
          </value>
        </values>
      </ddeItem>
      <ddeItem name="2023.TW-DXLOrderOutValueRatio" advise="1">
        <values>
          <value>
            <val>14.54</val>
          </value>
        </values>
      </ddeItem>
      <ddeItem name="2023.TW-DXLOrderValueDiffRatio" advise="1">
        <values>
          <value>
            <val>-17.940000000000001</val>
          </value>
        </values>
      </ddeItem>
      <ddeItem name="2023.TW-ExchangeIndustry" advise="1">
        <values>
          <value t="str">
            <val>上市鋼鐵</val>
          </value>
        </values>
      </ddeItem>
      <ddeItem name="2023.TW-ID" advise="1">
        <values>
          <value t="str">
            <val>2023</val>
          </value>
        </values>
      </ddeItem>
      <ddeItem name="2023.TW-InOutRatioNumber" advise="1">
        <values>
          <value t="str">
            <val>40.80%</val>
          </value>
        </values>
      </ddeItem>
      <ddeItem name="2023.TW-Name" advise="1">
        <values>
          <value t="str">
            <val>燁輝</val>
          </value>
        </values>
      </ddeItem>
      <ddeItem name="2023.TW-PreTotalVolumeRate" advise="1">
        <values>
          <value>
            <val>0.59</val>
          </value>
        </values>
      </ddeItem>
      <ddeItem name="2023.TW-Price" advise="1">
        <values>
          <value>
            <val>25.95</val>
          </value>
        </values>
      </ddeItem>
      <ddeItem name="2023.TW-PriceChangeRatio" advise="1">
        <values>
          <value>
            <val>-1.89</val>
          </value>
        </values>
      </ddeItem>
      <ddeItem name="2023.TW-Time" advise="1">
        <values>
          <value t="str">
            <val>10:15:16</val>
          </value>
        </values>
      </ddeItem>
      <ddeItem name="2023.TW-VolumeRatio" advise="1">
        <values>
          <value>
            <val>1.33</val>
          </value>
        </values>
      </ddeItem>
      <ddeItem name="2024.TW-5DayAvgVol" advise="1">
        <values>
          <value>
            <val>263</val>
          </value>
        </values>
      </ddeItem>
      <ddeItem name="2024.TW-AvgPrice" advise="1">
        <values>
          <value>
            <val>19.05</val>
          </value>
        </values>
      </ddeItem>
      <ddeItem name="2024.TW-Capital" advise="1">
        <values>
          <value t="str">
            <val>9.75</val>
          </value>
        </values>
      </ddeItem>
      <ddeItem name="2024.TW-DLOrderValueDiffRatio" advise="1">
        <values>
          <value>
            <val>0</val>
          </value>
        </values>
      </ddeItem>
      <ddeItem name="2024.TW-DXLOrderOutValueRatio" advise="1">
        <values>
          <value>
            <val>0</val>
          </value>
        </values>
      </ddeItem>
      <ddeItem name="2024.TW-DXLOrderValueDiffRatio" advise="1">
        <values>
          <value>
            <val>0</val>
          </value>
        </values>
      </ddeItem>
      <ddeItem name="2024.TW-ExchangeIndustry" advise="1">
        <values>
          <value t="str">
            <val>上市鋼鐵</val>
          </value>
        </values>
      </ddeItem>
      <ddeItem name="2024.TW-ID" advise="1">
        <values>
          <value t="str">
            <val>2024</val>
          </value>
        </values>
      </ddeItem>
      <ddeItem name="2024.TW-InOutRatioNumber" advise="1">
        <values>
          <value t="str">
            <val>12.90%</val>
          </value>
        </values>
      </ddeItem>
      <ddeItem name="2024.TW-Name" advise="1">
        <values>
          <value t="str">
            <val>志聯</val>
          </value>
        </values>
      </ddeItem>
      <ddeItem name="2024.TW-PreTotalVolumeRate" advise="1">
        <values>
          <value>
            <val>0.36</val>
          </value>
        </values>
      </ddeItem>
      <ddeItem name="2024.TW-Price" advise="1">
        <values>
          <value>
            <val>18.8</val>
          </value>
        </values>
      </ddeItem>
      <ddeItem name="2024.TW-PriceChangeRatio" advise="1">
        <values>
          <value>
            <val>-1.57</val>
          </value>
        </values>
      </ddeItem>
      <ddeItem name="2024.TW-Time" advise="1">
        <values>
          <value t="str">
            <val>10:10:17</val>
          </value>
        </values>
      </ddeItem>
      <ddeItem name="2024.TW-VolumeRatio" advise="1">
        <values>
          <value>
            <val>0.83</val>
          </value>
        </values>
      </ddeItem>
      <ddeItem name="2025.TW-5DayAvgVol" advise="1">
        <values>
          <value>
            <val>642</val>
          </value>
        </values>
      </ddeItem>
      <ddeItem name="2025.TW-AvgPrice" advise="1">
        <values>
          <value>
            <val>5.53</val>
          </value>
        </values>
      </ddeItem>
      <ddeItem name="2025.TW-Capital" advise="1">
        <values>
          <value t="str">
            <val>28.12</val>
          </value>
        </values>
      </ddeItem>
      <ddeItem name="2025.TW-DLOrderValueDiffRatio" advise="1">
        <values>
          <value>
            <val>-68.94</val>
          </value>
        </values>
      </ddeItem>
      <ddeItem name="2025.TW-DXLOrderOutValueRatio" advise="1">
        <values>
          <value>
            <val>0</val>
          </value>
        </values>
      </ddeItem>
      <ddeItem name="2025.TW-DXLOrderValueDiffRatio" advise="1">
        <values>
          <value>
            <val>0</val>
          </value>
        </values>
      </ddeItem>
      <ddeItem name="2025.TW-ExchangeIndustry" advise="1">
        <values>
          <value t="str">
            <val>上市鋼鐵</val>
          </value>
        </values>
      </ddeItem>
      <ddeItem name="2025.TW-ID" advise="1">
        <values>
          <value t="str">
            <val>2025</val>
          </value>
        </values>
      </ddeItem>
      <ddeItem name="2025.TW-InOutRatioNumber" advise="1">
        <values>
          <value t="str">
            <val>0.00%</val>
          </value>
        </values>
      </ddeItem>
      <ddeItem name="2025.TW-Name" advise="1">
        <values>
          <value t="str">
            <val>千興</val>
          </value>
        </values>
      </ddeItem>
      <ddeItem name="2025.TW-PreTotalVolumeRate" advise="1">
        <values>
          <value>
            <val>0.38</val>
          </value>
        </values>
      </ddeItem>
      <ddeItem name="2025.TW-Price" advise="1">
        <values>
          <value>
            <val>5.52</val>
          </value>
        </values>
      </ddeItem>
      <ddeItem name="2025.TW-PriceChangeRatio" advise="1">
        <values>
          <value>
            <val>0.36</val>
          </value>
        </values>
      </ddeItem>
      <ddeItem name="2025.TW-Time" advise="1">
        <values>
          <value t="str">
            <val>10:00:00</val>
          </value>
        </values>
      </ddeItem>
      <ddeItem name="2025.TW-VolumeRatio" advise="1">
        <values>
          <value>
            <val>1.33</val>
          </value>
        </values>
      </ddeItem>
      <ddeItem name="2027.TW-5DayAvgVol" advise="1">
        <values>
          <value>
            <val>22721</val>
          </value>
        </values>
      </ddeItem>
      <ddeItem name="2027.TW-AvgPrice" advise="1">
        <values>
          <value>
            <val>45.87</val>
          </value>
        </values>
      </ddeItem>
      <ddeItem name="2027.TW-Capital" advise="1">
        <values>
          <value t="str">
            <val>200.85</val>
          </value>
        </values>
      </ddeItem>
      <ddeItem name="2027.TW-DLOrderValueDiffRatio" advise="1">
        <values>
          <value>
            <val>-5.04</val>
          </value>
        </values>
      </ddeItem>
      <ddeItem name="2027.TW-DXLOrderOutValueRatio" advise="1">
        <values>
          <value>
            <val>19.25</val>
          </value>
        </values>
      </ddeItem>
      <ddeItem name="2027.TW-DXLOrderValueDiffRatio" advise="1">
        <values>
          <value>
            <val>-2.7</val>
          </value>
        </values>
      </ddeItem>
      <ddeItem name="2027.TW-ExchangeIndustry" advise="1">
        <values>
          <value t="str">
            <val>上市鋼鐵</val>
          </value>
        </values>
      </ddeItem>
      <ddeItem name="2027.TW-ID" advise="1">
        <values>
          <value t="str">
            <val>2027</val>
          </value>
        </values>
      </ddeItem>
      <ddeItem name="2027.TW-InOutRatioNumber" advise="1">
        <values>
          <value t="str">
            <val>43.89%</val>
          </value>
        </values>
      </ddeItem>
      <ddeItem name="2027.TW-Name" advise="1">
        <values>
          <value t="str">
            <val>大成鋼</val>
          </value>
        </values>
      </ddeItem>
      <ddeItem name="2027.TW-PreTotalVolumeRate" advise="1">
        <values>
          <value>
            <val>1.1000000000000001</val>
          </value>
        </values>
      </ddeItem>
      <ddeItem name="2027.TW-Price" advise="1">
        <values>
          <value>
            <val>45.05</val>
          </value>
        </values>
      </ddeItem>
      <ddeItem name="2027.TW-PriceChangeRatio" advise="1">
        <values>
          <value>
            <val>0.33</val>
          </value>
        </values>
      </ddeItem>
      <ddeItem name="2027.TW-Time" advise="1">
        <values>
          <value t="str">
            <val>10:15:19</val>
          </value>
        </values>
      </ddeItem>
      <ddeItem name="2027.TW-VolumeRatio" advise="1">
        <values>
          <value>
            <val>2.44</val>
          </value>
        </values>
      </ddeItem>
      <ddeItem name="2028.TW-5DayAvgVol" advise="1">
        <values>
          <value>
            <val>1275</val>
          </value>
        </values>
      </ddeItem>
      <ddeItem name="2028.TW-AvgPrice" advise="1">
        <values>
          <value>
            <val>36.86</val>
          </value>
        </values>
      </ddeItem>
      <ddeItem name="2028.TW-Capital" advise="1">
        <values>
          <value t="str">
            <val>32.57</val>
          </value>
        </values>
      </ddeItem>
      <ddeItem name="2028.TW-DLOrderValueDiffRatio" advise="1">
        <values>
          <value>
            <val>3.26</val>
          </value>
        </values>
      </ddeItem>
      <ddeItem name="2028.TW-DXLOrderOutValueRatio" advise="1">
        <values>
          <value>
            <val>0</val>
          </value>
        </values>
      </ddeItem>
      <ddeItem name="2028.TW-DXLOrderValueDiffRatio" advise="1">
        <values>
          <value>
            <val>0</val>
          </value>
        </values>
      </ddeItem>
      <ddeItem name="2028.TW-ExchangeIndustry" advise="1">
        <values>
          <value t="str">
            <val>上市鋼鐵</val>
          </value>
        </values>
      </ddeItem>
      <ddeItem name="2028.TW-ID" advise="1">
        <values>
          <value t="str">
            <val>2028</val>
          </value>
        </values>
      </ddeItem>
      <ddeItem name="2028.TW-InOutRatioNumber" advise="1">
        <values>
          <value t="str">
            <val>37.40%</val>
          </value>
        </values>
      </ddeItem>
      <ddeItem name="2028.TW-Name" advise="1">
        <values>
          <value t="str">
            <val>威致</val>
          </value>
        </values>
      </ddeItem>
      <ddeItem name="2028.TW-PreTotalVolumeRate" advise="1">
        <values>
          <value>
            <val>0.48</val>
          </value>
        </values>
      </ddeItem>
      <ddeItem name="2028.TW-Price" advise="1">
        <values>
          <value>
            <val>36.25</val>
          </value>
        </values>
      </ddeItem>
      <ddeItem name="2028.TW-PriceChangeRatio" advise="1">
        <values>
          <value>
            <val>-1.36</val>
          </value>
        </values>
      </ddeItem>
      <ddeItem name="2028.TW-Time" advise="1">
        <values>
          <value t="str">
            <val>10:15:14</val>
          </value>
        </values>
      </ddeItem>
      <ddeItem name="2028.TW-VolumeRatio" advise="1">
        <values>
          <value>
            <val>1.26</val>
          </value>
        </values>
      </ddeItem>
      <ddeItem name="2029.TW-5DayAvgVol" advise="1">
        <values>
          <value>
            <val>2112</val>
          </value>
        </values>
      </ddeItem>
      <ddeItem name="2029.TW-AvgPrice" advise="1">
        <values>
          <value>
            <val>34.840000000000003</val>
          </value>
        </values>
      </ddeItem>
      <ddeItem name="2029.TW-Capital" advise="1">
        <values>
          <value t="str">
            <val>32.12</val>
          </value>
        </values>
      </ddeItem>
      <ddeItem name="2029.TW-DLOrderValueDiffRatio" advise="1">
        <values>
          <value>
            <val>-9.9</val>
          </value>
        </values>
      </ddeItem>
      <ddeItem name="2029.TW-DXLOrderOutValueRatio" advise="1">
        <values>
          <value>
            <val>4.93</val>
          </value>
        </values>
      </ddeItem>
      <ddeItem name="2029.TW-DXLOrderValueDiffRatio" advise="1">
        <values>
          <value>
            <val>1.47</val>
          </value>
        </values>
      </ddeItem>
      <ddeItem name="2029.TW-ExchangeIndustry" advise="1">
        <values>
          <value t="str">
            <val>上市鋼鐵</val>
          </value>
        </values>
      </ddeItem>
      <ddeItem name="2029.TW-ID" advise="1">
        <values>
          <value t="str">
            <val>2029</val>
          </value>
        </values>
      </ddeItem>
      <ddeItem name="2029.TW-InOutRatioNumber" advise="1">
        <values>
          <value t="str">
            <val>33.36%</val>
          </value>
        </values>
      </ddeItem>
      <ddeItem name="2029.TW-Name" advise="1">
        <values>
          <value t="str">
            <val>盛餘</val>
          </value>
        </values>
      </ddeItem>
      <ddeItem name="2029.TW-PreTotalVolumeRate" advise="1">
        <values>
          <value>
            <val>0.39</val>
          </value>
        </values>
      </ddeItem>
      <ddeItem name="2029.TW-Price" advise="1">
        <values>
          <value>
            <val>34.1</val>
          </value>
        </values>
      </ddeItem>
      <ddeItem name="2029.TW-PriceChangeRatio" advise="1">
        <values>
          <value>
            <val>-2.99</val>
          </value>
        </values>
      </ddeItem>
      <ddeItem name="2029.TW-Time" advise="1">
        <values>
          <value t="str">
            <val>10:15:12</val>
          </value>
        </values>
      </ddeItem>
      <ddeItem name="2029.TW-VolumeRatio" advise="1">
        <values>
          <value>
            <val>0.85</val>
          </value>
        </values>
      </ddeItem>
      <ddeItem name="2030.TW-5DayAvgVol" advise="1">
        <values>
          <value>
            <val>4068</val>
          </value>
        </values>
      </ddeItem>
      <ddeItem name="2030.TW-AvgPrice" advise="1">
        <values>
          <value>
            <val>29.76</val>
          </value>
        </values>
      </ddeItem>
      <ddeItem name="2030.TW-Capital" advise="1">
        <values>
          <value t="str">
            <val>28.05</val>
          </value>
        </values>
      </ddeItem>
      <ddeItem name="2030.TW-DLOrderValueDiffRatio" advise="1">
        <values>
          <value>
            <val>1.78</val>
          </value>
        </values>
      </ddeItem>
      <ddeItem name="2030.TW-DXLOrderOutValueRatio" advise="1">
        <values>
          <value>
            <val>0</val>
          </value>
        </values>
      </ddeItem>
      <ddeItem name="2030.TW-DXLOrderValueDiffRatio" advise="1">
        <values>
          <value>
            <val>-8.09</val>
          </value>
        </values>
      </ddeItem>
      <ddeItem name="2030.TW-ExchangeIndustry" advise="1">
        <values>
          <value t="str">
            <val>上市鋼鐵</val>
          </value>
        </values>
      </ddeItem>
      <ddeItem name="2030.TW-ID" advise="1">
        <values>
          <value t="str">
            <val>2030</val>
          </value>
        </values>
      </ddeItem>
      <ddeItem name="2030.TW-InOutRatioNumber" advise="1">
        <values>
          <value t="str">
            <val>39.55%</val>
          </value>
        </values>
      </ddeItem>
      <ddeItem name="2030.TW-Name" advise="1">
        <values>
          <value t="str">
            <val>彰源</val>
          </value>
        </values>
      </ddeItem>
      <ddeItem name="2030.TW-PreTotalVolumeRate" advise="1">
        <values>
          <value>
            <val>0.74</val>
          </value>
        </values>
      </ddeItem>
      <ddeItem name="2030.TW-Price" advise="1">
        <values>
          <value>
            <val>29.3</val>
          </value>
        </values>
      </ddeItem>
      <ddeItem name="2030.TW-PriceChangeRatio" advise="1">
        <values>
          <value>
            <val>-0.34</val>
          </value>
        </values>
      </ddeItem>
      <ddeItem name="2030.TW-Time" advise="1">
        <values>
          <value t="str">
            <val>10:14:08</val>
          </value>
        </values>
      </ddeItem>
      <ddeItem name="2030.TW-VolumeRatio" advise="1">
        <values>
          <value>
            <val>1.77</val>
          </value>
        </values>
      </ddeItem>
      <ddeItem name="2031.TW-5DayAvgVol" advise="1">
        <values>
          <value>
            <val>2782</val>
          </value>
        </values>
      </ddeItem>
      <ddeItem name="2031.TW-AvgPrice" advise="1">
        <values>
          <value>
            <val>57.33</val>
          </value>
        </values>
      </ddeItem>
      <ddeItem name="2031.TW-Capital" advise="1">
        <values>
          <value t="str">
            <val>32.11</val>
          </value>
        </values>
      </ddeItem>
      <ddeItem name="2031.TW-DLOrderValueDiffRatio" advise="1">
        <values>
          <value>
            <val>-4.28</val>
          </value>
        </values>
      </ddeItem>
      <ddeItem name="2031.TW-DXLOrderOutValueRatio" advise="1">
        <values>
          <value>
            <val>2.96</val>
          </value>
        </values>
      </ddeItem>
      <ddeItem name="2031.TW-DXLOrderValueDiffRatio" advise="1">
        <values>
          <value>
            <val>-21.81</val>
          </value>
        </values>
      </ddeItem>
      <ddeItem name="2031.TW-ExchangeIndustry" advise="1">
        <values>
          <value t="str">
            <val>上市鋼鐵</val>
          </value>
        </values>
      </ddeItem>
      <ddeItem name="2031.TW-ID" advise="1">
        <values>
          <value t="str">
            <val>2031</val>
          </value>
        </values>
      </ddeItem>
      <ddeItem name="2031.TW-InOutRatioNumber" advise="1">
        <values>
          <value t="str">
            <val>36.71%</val>
          </value>
        </values>
      </ddeItem>
      <ddeItem name="2031.TW-Name" advise="1">
        <values>
          <value t="str">
            <val>新光鋼</val>
          </value>
        </values>
      </ddeItem>
      <ddeItem name="2031.TW-PreTotalVolumeRate" advise="1">
        <values>
          <value>
            <val>0.89</val>
          </value>
        </values>
      </ddeItem>
      <ddeItem name="2031.TW-Price" advise="1">
        <values>
          <value>
            <val>56.4</val>
          </value>
        </values>
      </ddeItem>
      <ddeItem name="2031.TW-PriceChangeRatio" advise="1">
        <values>
          <value>
            <val>-1.57</val>
          </value>
        </values>
      </ddeItem>
      <ddeItem name="2031.TW-Time" advise="1">
        <values>
          <value t="str">
            <val>10:15:14</val>
          </value>
        </values>
      </ddeItem>
      <ddeItem name="2031.TW-VolumeRatio" advise="1">
        <values>
          <value>
            <val>2.2400000000000002</val>
          </value>
        </values>
      </ddeItem>
      <ddeItem name="2032.TW-5DayAvgVol" advise="1">
        <values>
          <value>
            <val>803</val>
          </value>
        </values>
      </ddeItem>
      <ddeItem name="2032.TW-AvgPrice" advise="1">
        <values>
          <value>
            <val>25.66</val>
          </value>
        </values>
      </ddeItem>
      <ddeItem name="2032.TW-Capital" advise="1">
        <values>
          <value t="str">
            <val>13.05</val>
          </value>
        </values>
      </ddeItem>
      <ddeItem name="2032.TW-DLOrderValueDiffRatio" advise="1">
        <values>
          <value>
            <val>0</val>
          </value>
        </values>
      </ddeItem>
      <ddeItem name="2032.TW-DXLOrderOutValueRatio" advise="1">
        <values>
          <value>
            <val>0</val>
          </value>
        </values>
      </ddeItem>
      <ddeItem name="2032.TW-DXLOrderValueDiffRatio" advise="1">
        <values>
          <value>
            <val>0</val>
          </value>
        </values>
      </ddeItem>
      <ddeItem name="2032.TW-ExchangeIndustry" advise="1">
        <values>
          <value t="str">
            <val>上市鋼鐵</val>
          </value>
        </values>
      </ddeItem>
      <ddeItem name="2032.TW-ID" advise="1">
        <values>
          <value t="str">
            <val>2032</val>
          </value>
        </values>
      </ddeItem>
      <ddeItem name="2032.TW-InOutRatioNumber" advise="1">
        <values>
          <value t="str">
            <val>33.24%</val>
          </value>
        </values>
      </ddeItem>
      <ddeItem name="2032.TW-Name" advise="1">
        <values>
          <value t="str">
            <val>新鋼</val>
          </value>
        </values>
      </ddeItem>
      <ddeItem name="2032.TW-PreTotalVolumeRate" advise="1">
        <values>
          <value>
            <val>0.45</val>
          </value>
        </values>
      </ddeItem>
      <ddeItem name="2032.TW-Price" advise="1">
        <values>
          <value>
            <val>25.15</val>
          </value>
        </values>
      </ddeItem>
      <ddeItem name="2032.TW-PriceChangeRatio" advise="1">
        <values>
          <value>
            <val>-1.95</val>
          </value>
        </values>
      </ddeItem>
      <ddeItem name="2032.TW-Time" advise="1">
        <values>
          <value t="str">
            <val>10:15:14</val>
          </value>
        </values>
      </ddeItem>
      <ddeItem name="2032.TW-VolumeRatio" advise="1">
        <values>
          <value>
            <val>1.1399999999999999</val>
          </value>
        </values>
      </ddeItem>
      <ddeItem name="2033.TW-5DayAvgVol" advise="1">
        <values>
          <value>
            <val>278</val>
          </value>
        </values>
      </ddeItem>
      <ddeItem name="2033.TW-AvgPrice" advise="1">
        <values>
          <value>
            <val>16.79</val>
          </value>
        </values>
      </ddeItem>
      <ddeItem name="2033.TW-Capital" advise="1">
        <values>
          <value t="str">
            <val>8.07</val>
          </value>
        </values>
      </ddeItem>
      <ddeItem name="2033.TW-DLOrderValueDiffRatio" advise="1">
        <values>
          <value>
            <val>0</val>
          </value>
        </values>
      </ddeItem>
      <ddeItem name="2033.TW-DXLOrderOutValueRatio" advise="1">
        <values>
          <value>
            <val>0</val>
          </value>
        </values>
      </ddeItem>
      <ddeItem name="2033.TW-DXLOrderValueDiffRatio" advise="1">
        <values>
          <value>
            <val>0</val>
          </value>
        </values>
      </ddeItem>
      <ddeItem name="2033.TW-ExchangeIndustry" advise="1">
        <values>
          <value t="str">
            <val>上市鋼鐵</val>
          </value>
        </values>
      </ddeItem>
      <ddeItem name="2033.TW-ID" advise="1">
        <values>
          <value t="str">
            <val>2033</val>
          </value>
        </values>
      </ddeItem>
      <ddeItem name="2033.TW-InOutRatioNumber" advise="1">
        <values>
          <value t="str">
            <val>36.21%</val>
          </value>
        </values>
      </ddeItem>
      <ddeItem name="2033.TW-Name" advise="1">
        <values>
          <value t="str">
            <val>佳大</val>
          </value>
        </values>
      </ddeItem>
      <ddeItem name="2033.TW-PreTotalVolumeRate" advise="1">
        <values>
          <value>
            <val>0.46</val>
          </value>
        </values>
      </ddeItem>
      <ddeItem name="2033.TW-Price" advise="1">
        <values>
          <value>
            <val>16.399999999999999</val>
          </value>
        </values>
      </ddeItem>
      <ddeItem name="2033.TW-PriceChangeRatio" advise="1">
        <values>
          <value>
            <val>-1.2</val>
          </value>
        </values>
      </ddeItem>
      <ddeItem name="2033.TW-Time" advise="1">
        <values>
          <value t="str">
            <val>10:13:55</val>
          </value>
        </values>
      </ddeItem>
      <ddeItem name="2033.TW-VolumeRatio" advise="1">
        <values>
          <value>
            <val>1.73</val>
          </value>
        </values>
      </ddeItem>
      <ddeItem name="2034.TW-5DayAvgVol" advise="1">
        <values>
          <value>
            <val>2927</val>
          </value>
        </values>
      </ddeItem>
      <ddeItem name="2034.TW-AvgPrice" advise="1">
        <values>
          <value>
            <val>31.5</val>
          </value>
        </values>
      </ddeItem>
      <ddeItem name="2034.TW-Capital" advise="1">
        <values>
          <value t="str">
            <val>44.45</val>
          </value>
        </values>
      </ddeItem>
      <ddeItem name="2034.TW-DLOrderValueDiffRatio" advise="1">
        <values>
          <value>
            <val>-3.36</val>
          </value>
        </values>
      </ddeItem>
      <ddeItem name="2034.TW-DXLOrderOutValueRatio" advise="1">
        <values>
          <value>
            <val>0</val>
          </value>
        </values>
      </ddeItem>
      <ddeItem name="2034.TW-DXLOrderValueDiffRatio" advise="1">
        <values>
          <value>
            <val>-8.68</val>
          </value>
        </values>
      </ddeItem>
      <ddeItem name="2034.TW-ExchangeIndustry" advise="1">
        <values>
          <value t="str">
            <val>上市鋼鐵</val>
          </value>
        </values>
      </ddeItem>
      <ddeItem name="2034.TW-ID" advise="1">
        <values>
          <value t="str">
            <val>2034</val>
          </value>
        </values>
      </ddeItem>
      <ddeItem name="2034.TW-InOutRatioNumber" advise="1">
        <values>
          <value t="str">
            <val>35.61%</val>
          </value>
        </values>
      </ddeItem>
      <ddeItem name="2034.TW-Name" advise="1">
        <values>
          <value t="str">
            <val>允強</val>
          </value>
        </values>
      </ddeItem>
      <ddeItem name="2034.TW-PreTotalVolumeRate" advise="1">
        <values>
          <value>
            <val>0.57999999999999996</val>
          </value>
        </values>
      </ddeItem>
      <ddeItem name="2034.TW-Price" advise="1">
        <values>
          <value>
            <val>31.15</val>
          </value>
        </values>
      </ddeItem>
      <ddeItem name="2034.TW-PriceChangeRatio" advise="1">
        <values>
          <value>
            <val>-0.48</val>
          </value>
        </values>
      </ddeItem>
      <ddeItem name="2034.TW-Time" advise="1">
        <values>
          <value t="str">
            <val>10:15:12</val>
          </value>
        </values>
      </ddeItem>
      <ddeItem name="2034.TW-VolumeRatio" advise="1">
        <values>
          <value>
            <val>1.37</val>
          </value>
        </values>
      </ddeItem>
      <ddeItem name="2038.TW-5DayAvgVol" advise="1">
        <values>
          <value>
            <val>3278</val>
          </value>
        </values>
      </ddeItem>
      <ddeItem name="2038.TW-AvgPrice" advise="1">
        <values>
          <value>
            <val>33.81</val>
          </value>
        </values>
      </ddeItem>
      <ddeItem name="2038.TW-Capital" advise="1">
        <values>
          <value t="str">
            <val>18.13</val>
          </value>
        </values>
      </ddeItem>
      <ddeItem name="2038.TW-DLOrderValueDiffRatio" advise="1">
        <values>
          <value>
            <val>-7.87</val>
          </value>
        </values>
      </ddeItem>
      <ddeItem name="2038.TW-DXLOrderOutValueRatio" advise="1">
        <values>
          <value>
            <val>9.09</val>
          </value>
        </values>
      </ddeItem>
      <ddeItem name="2038.TW-DXLOrderValueDiffRatio" advise="1">
        <values>
          <value>
            <val>9.09</val>
          </value>
        </values>
      </ddeItem>
      <ddeItem name="2038.TW-ExchangeIndustry" advise="1">
        <values>
          <value t="str">
            <val>上市鋼鐵</val>
          </value>
        </values>
      </ddeItem>
      <ddeItem name="2038.TW-ID" advise="1">
        <values>
          <value t="str">
            <val>2038</val>
          </value>
        </values>
      </ddeItem>
      <ddeItem name="2038.TW-InOutRatioNumber" advise="1">
        <values>
          <value t="str">
            <val>48.94%</val>
          </value>
        </values>
      </ddeItem>
      <ddeItem name="2038.TW-Name" advise="1">
        <values>
          <value t="str">
            <val>海光</val>
          </value>
        </values>
      </ddeItem>
      <ddeItem name="2038.TW-PreTotalVolumeRate" advise="1">
        <values>
          <value>
            <val>0.66</val>
          </value>
        </values>
      </ddeItem>
      <ddeItem name="2038.TW-Price" advise="1">
        <values>
          <value>
            <val>33.049999999999997</val>
          </value>
        </values>
      </ddeItem>
      <ddeItem name="2038.TW-PriceChangeRatio" advise="1">
        <values>
          <value>
            <val>-0.9</val>
          </value>
        </values>
      </ddeItem>
      <ddeItem name="2038.TW-Time" advise="1">
        <values>
          <value t="str">
            <val>10:15:15</val>
          </value>
        </values>
      </ddeItem>
      <ddeItem name="2038.TW-VolumeRatio" advise="1">
        <values>
          <value>
            <val>1.5</val>
          </value>
        </values>
      </ddeItem>
      <ddeItem name="2049.TW-5DayAvgVol" advise="1">
        <values>
          <value>
            <val>972</val>
          </value>
        </values>
      </ddeItem>
      <ddeItem name="2049.TW-AvgPrice" advise="1">
        <values>
          <value>
            <val>303.37</val>
          </value>
        </values>
      </ddeItem>
      <ddeItem name="2049.TW-Capital" advise="1">
        <values>
          <value t="str">
            <val>34.08</val>
          </value>
        </values>
      </ddeItem>
      <ddeItem name="2049.TW-DLOrderValueDiffRatio" advise="1">
        <values>
          <value>
            <val>-1.19</val>
          </value>
        </values>
      </ddeItem>
      <ddeItem name="2049.TW-DXLOrderOutValueRatio" advise="1">
        <values>
          <value>
            <val>0</val>
          </value>
        </values>
      </ddeItem>
      <ddeItem name="2049.TW-DXLOrderValueDiffRatio" advise="1">
        <values>
          <value>
            <val>0</val>
          </value>
        </values>
      </ddeItem>
      <ddeItem name="2049.TW-ExchangeIndustry" advise="1">
        <values>
          <value t="str">
            <val>上市電機機械</val>
          </value>
        </values>
      </ddeItem>
      <ddeItem name="2049.TW-ID" advise="1">
        <values>
          <value t="str">
            <val>2049</val>
          </value>
        </values>
      </ddeItem>
      <ddeItem name="2049.TW-InOutRatioNumber" advise="1">
        <values>
          <value t="str">
            <val>49.58%</val>
          </value>
        </values>
      </ddeItem>
      <ddeItem name="2049.TW-Name" advise="1">
        <values>
          <value t="str">
            <val>上銀</val>
          </value>
        </values>
      </ddeItem>
      <ddeItem name="2049.TW-PreTotalVolumeRate" advise="1">
        <values>
          <value>
            <val>0.23</val>
          </value>
        </values>
      </ddeItem>
      <ddeItem name="2049.TW-Price" advise="1">
        <values>
          <value>
            <val>303</val>
          </value>
        </values>
      </ddeItem>
      <ddeItem name="2049.TW-PriceChangeRatio" advise="1">
        <values>
          <value>
            <val>1</val>
          </value>
        </values>
      </ddeItem>
      <ddeItem name="2049.TW-Time" advise="1">
        <values>
          <value t="str">
            <val>10:10:53</val>
          </value>
        </values>
      </ddeItem>
      <ddeItem name="2049.TW-VolumeRatio" advise="1">
        <values>
          <value>
            <val>0.55000000000000004</val>
          </value>
        </values>
      </ddeItem>
      <ddeItem name="2069.TW-5DayAvgVol" advise="1">
        <values>
          <value>
            <val>3079</val>
          </value>
        </values>
      </ddeItem>
      <ddeItem name="2069.TW-AvgPrice" advise="1">
        <values>
          <value>
            <val>31.65</val>
          </value>
        </values>
      </ddeItem>
      <ddeItem name="2069.TW-Capital" advise="1">
        <values>
          <value t="str">
            <val>16.64</val>
          </value>
        </values>
      </ddeItem>
      <ddeItem name="2069.TW-DLOrderValueDiffRatio" advise="1">
        <values>
          <value>
            <val>-1.42</val>
          </value>
        </values>
      </ddeItem>
      <ddeItem name="2069.TW-DXLOrderOutValueRatio" advise="1">
        <values>
          <value>
            <val>7.71</val>
          </value>
        </values>
      </ddeItem>
      <ddeItem name="2069.TW-DXLOrderValueDiffRatio" advise="1">
        <values>
          <value>
            <val>3.43</val>
          </value>
        </values>
      </ddeItem>
      <ddeItem name="2069.TW-ExchangeIndustry" advise="1">
        <values>
          <value t="str">
            <val>上市鋼鐵</val>
          </value>
        </values>
      </ddeItem>
      <ddeItem name="2069.TW-ID" advise="1">
        <values>
          <value t="str">
            <val>2069</val>
          </value>
        </values>
      </ddeItem>
      <ddeItem name="2069.TW-InOutRatioNumber" advise="1">
        <values>
          <value t="str">
            <val>47.54%</val>
          </value>
        </values>
      </ddeItem>
      <ddeItem name="2069.TW-Name" advise="1">
        <values>
          <value t="str">
            <val>運錩</val>
          </value>
        </values>
      </ddeItem>
      <ddeItem name="2069.TW-PreTotalVolumeRate" advise="1">
        <values>
          <value>
            <val>0.68</val>
          </value>
        </values>
      </ddeItem>
      <ddeItem name="2069.TW-Price" advise="1">
        <values>
          <value>
            <val>31.1</val>
          </value>
        </values>
      </ddeItem>
      <ddeItem name="2069.TW-PriceChangeRatio" advise="1">
        <values>
          <value>
            <val>-0.32</val>
          </value>
        </values>
      </ddeItem>
      <ddeItem name="2069.TW-Time" advise="1">
        <values>
          <value t="str">
            <val>10:14:32</val>
          </value>
        </values>
      </ddeItem>
      <ddeItem name="2069.TW-VolumeRatio" advise="1">
        <values>
          <value>
            <val>1.45</val>
          </value>
        </values>
      </ddeItem>
      <ddeItem name="2101.TW-5DayAvgVol" advise="1">
        <values>
          <value>
            <val>3263</val>
          </value>
        </values>
      </ddeItem>
      <ddeItem name="2101.TW-AvgPrice" advise="1">
        <values>
          <value>
            <val>41.44</val>
          </value>
        </values>
      </ddeItem>
      <ddeItem name="2101.TW-Capital" advise="1">
        <values>
          <value t="str">
            <val>83.39</val>
          </value>
        </values>
      </ddeItem>
      <ddeItem name="2101.TW-DLOrderValueDiffRatio" advise="1">
        <values>
          <value>
            <val>-1.29</val>
          </value>
        </values>
      </ddeItem>
      <ddeItem name="2101.TW-DXLOrderOutValueRatio" advise="1">
        <values>
          <value>
            <val>27.73</val>
          </value>
        </values>
      </ddeItem>
      <ddeItem name="2101.TW-DXLOrderValueDiffRatio" advise="1">
        <values>
          <value>
            <val>26.31</val>
          </value>
        </values>
      </ddeItem>
      <ddeItem name="2101.TW-ExchangeIndustry" advise="1">
        <values>
          <value t="str">
            <val>上市橡膠</val>
          </value>
        </values>
      </ddeItem>
      <ddeItem name="2101.TW-ID" advise="1">
        <values>
          <value t="str">
            <val>2101</val>
          </value>
        </values>
      </ddeItem>
      <ddeItem name="2101.TW-InOutRatioNumber" advise="1">
        <values>
          <value t="str">
            <val>69.74%</val>
          </value>
        </values>
      </ddeItem>
      <ddeItem name="2101.TW-Name" advise="1">
        <values>
          <value t="str">
            <val>南港</val>
          </value>
        </values>
      </ddeItem>
      <ddeItem name="2101.TW-PreTotalVolumeRate" advise="1">
        <values>
          <value>
            <val>0.31</val>
          </value>
        </values>
      </ddeItem>
      <ddeItem name="2101.TW-Price" advise="1">
        <values>
          <value>
            <val>41.35</val>
          </value>
        </values>
      </ddeItem>
      <ddeItem name="2101.TW-PriceChangeRatio" advise="1">
        <values>
          <value>
            <val>1.97</val>
          </value>
        </values>
      </ddeItem>
      <ddeItem name="2101.TW-Time" advise="1">
        <values>
          <value t="str">
            <val>10:14:27</val>
          </value>
        </values>
      </ddeItem>
      <ddeItem name="2101.TW-VolumeRatio" advise="1">
        <values>
          <value>
            <val>0.74</val>
          </value>
        </values>
      </ddeItem>
      <ddeItem name="2102.TW-5DayAvgVol" advise="1">
        <values>
          <value>
            <val>3387</val>
          </value>
        </values>
      </ddeItem>
      <ddeItem name="2102.TW-AvgPrice" advise="1">
        <values>
          <value>
            <val>29.6</val>
          </value>
        </values>
      </ddeItem>
      <ddeItem name="2102.TW-Capital" advise="1">
        <values>
          <value t="str">
            <val>47.33</val>
          </value>
        </values>
      </ddeItem>
      <ddeItem name="2102.TW-DLOrderValueDiffRatio" advise="1">
        <values>
          <value>
            <val>13.16</val>
          </value>
        </values>
      </ddeItem>
      <ddeItem name="2102.TW-DXLOrderOutValueRatio" advise="1">
        <values>
          <value>
            <val>22.48</val>
          </value>
        </values>
      </ddeItem>
      <ddeItem name="2102.TW-DXLOrderValueDiffRatio" advise="1">
        <values>
          <value>
            <val>19.77</val>
          </value>
        </values>
      </ddeItem>
      <ddeItem name="2102.TW-ExchangeIndustry" advise="1">
        <values>
          <value t="str">
            <val>上市橡膠</val>
          </value>
        </values>
      </ddeItem>
      <ddeItem name="2102.TW-ID" advise="1">
        <values>
          <value t="str">
            <val>2102</val>
          </value>
        </values>
      </ddeItem>
      <ddeItem name="2102.TW-InOutRatioNumber" advise="1">
        <values>
          <value t="str">
            <val>70.98%</val>
          </value>
        </values>
      </ddeItem>
      <ddeItem name="2102.TW-Name" advise="1">
        <values>
          <value t="str">
            <val>泰豐</val>
          </value>
        </values>
      </ddeItem>
      <ddeItem name="2102.TW-PreTotalVolumeRate" advise="1">
        <values>
          <value>
            <val>0.35</val>
          </value>
        </values>
      </ddeItem>
      <ddeItem name="2102.TW-Price" advise="1">
        <values>
          <value>
            <val>30.15</val>
          </value>
        </values>
      </ddeItem>
      <ddeItem name="2102.TW-PriceChangeRatio" advise="1">
        <values>
          <value>
            <val>7.1</val>
          </value>
        </values>
      </ddeItem>
      <ddeItem name="2102.TW-Time" advise="1">
        <values>
          <value t="str">
            <val>10:15:00</val>
          </value>
        </values>
      </ddeItem>
      <ddeItem name="2102.TW-VolumeRatio" advise="1">
        <values>
          <value>
            <val>0.73</val>
          </value>
        </values>
      </ddeItem>
      <ddeItem name="2103.TW-5DayAvgVol" advise="1">
        <values>
          <value>
            <val>2465</val>
          </value>
        </values>
      </ddeItem>
      <ddeItem name="2103.TW-AvgPrice" advise="1">
        <values>
          <value>
            <val>30.83</val>
          </value>
        </values>
      </ddeItem>
      <ddeItem name="2103.TW-Capital" advise="1">
        <values>
          <value t="str">
            <val>82.57</val>
          </value>
        </values>
      </ddeItem>
      <ddeItem name="2103.TW-DLOrderValueDiffRatio" advise="1">
        <values>
          <value>
            <val>11.01</val>
          </value>
        </values>
      </ddeItem>
      <ddeItem name="2103.TW-DXLOrderOutValueRatio" advise="1">
        <values>
          <value>
            <val>35.24</val>
          </value>
        </values>
      </ddeItem>
      <ddeItem name="2103.TW-DXLOrderValueDiffRatio" advise="1">
        <values>
          <value>
            <val>28.64</val>
          </value>
        </values>
      </ddeItem>
      <ddeItem name="2103.TW-ExchangeIndustry" advise="1">
        <values>
          <value t="str">
            <val>上市橡膠</val>
          </value>
        </values>
      </ddeItem>
      <ddeItem name="2103.TW-ID" advise="1">
        <values>
          <value t="str">
            <val>2103</val>
          </value>
        </values>
      </ddeItem>
      <ddeItem name="2103.TW-InOutRatioNumber" advise="1">
        <values>
          <value t="str">
            <val>67.54%</val>
          </value>
        </values>
      </ddeItem>
      <ddeItem name="2103.TW-Name" advise="1">
        <values>
          <value t="str">
            <val>台橡</val>
          </value>
        </values>
      </ddeItem>
      <ddeItem name="2103.TW-PreTotalVolumeRate" advise="1">
        <values>
          <value>
            <val>3.12</val>
          </value>
        </values>
      </ddeItem>
      <ddeItem name="2103.TW-Price" advise="1">
        <values>
          <value>
            <val>30.85</val>
          </value>
        </values>
      </ddeItem>
      <ddeItem name="2103.TW-PriceChangeRatio" advise="1">
        <values>
          <value>
            <val>4.58</val>
          </value>
        </values>
      </ddeItem>
      <ddeItem name="2103.TW-Time" advise="1">
        <values>
          <value t="str">
            <val>10:14:51</val>
          </value>
        </values>
      </ddeItem>
      <ddeItem name="2103.TW-VolumeRatio" advise="1">
        <values>
          <value>
            <val>7.28</val>
          </value>
        </values>
      </ddeItem>
      <ddeItem name="2104.TW-5DayAvgVol" advise="1">
        <values>
          <value>
            <val>1307</val>
          </value>
        </values>
      </ddeItem>
      <ddeItem name="2104.TW-AvgPrice" advise="1">
        <values>
          <value>
            <val>23.03</val>
          </value>
        </values>
      </ddeItem>
      <ddeItem name="2104.TW-Capital" advise="1">
        <values>
          <value t="str">
            <val>98.47</val>
          </value>
        </values>
      </ddeItem>
      <ddeItem name="2104.TW-DLOrderValueDiffRatio" advise="1">
        <values>
          <value>
            <val>9.7799999999999994</val>
          </value>
        </values>
      </ddeItem>
      <ddeItem name="2104.TW-DXLOrderOutValueRatio" advise="1">
        <values>
          <value>
            <val>5.6</val>
          </value>
        </values>
      </ddeItem>
      <ddeItem name="2104.TW-DXLOrderValueDiffRatio" advise="1">
        <values>
          <value>
            <val>5.6</val>
          </value>
        </values>
      </ddeItem>
      <ddeItem name="2104.TW-ExchangeIndustry" advise="1">
        <values>
          <value t="str">
            <val>上市橡膠</val>
          </value>
        </values>
      </ddeItem>
      <ddeItem name="2104.TW-ID" advise="1">
        <values>
          <value t="str">
            <val>2104</val>
          </value>
        </values>
      </ddeItem>
      <ddeItem name="2104.TW-InOutRatioNumber" advise="1">
        <values>
          <value t="str">
            <val>60.63%</val>
          </value>
        </values>
      </ddeItem>
      <ddeItem name="2104.TW-Name" advise="1">
        <values>
          <value t="str">
            <val>國際中橡</val>
          </value>
        </values>
      </ddeItem>
      <ddeItem name="2104.TW-PreTotalVolumeRate" advise="1">
        <values>
          <value>
            <val>0.83</val>
          </value>
        </values>
      </ddeItem>
      <ddeItem name="2104.TW-Price" advise="1">
        <values>
          <value>
            <val>23.1</val>
          </value>
        </values>
      </ddeItem>
      <ddeItem name="2104.TW-PriceChangeRatio" advise="1">
        <values>
          <value>
            <val>1.32</val>
          </value>
        </values>
      </ddeItem>
      <ddeItem name="2104.TW-Time" advise="1">
        <values>
          <value t="str">
            <val>10:14:22</val>
          </value>
        </values>
      </ddeItem>
      <ddeItem name="2104.TW-VolumeRatio" advise="1">
        <values>
          <value>
            <val>2.1</val>
          </value>
        </values>
      </ddeItem>
      <ddeItem name="2105.TW-5DayAvgVol" advise="1">
        <values>
          <value>
            <val>4040</val>
          </value>
        </values>
      </ddeItem>
      <ddeItem name="2105.TW-AvgPrice" advise="1">
        <values>
          <value>
            <val>35</val>
          </value>
        </values>
      </ddeItem>
      <ddeItem name="2105.TW-Capital" advise="1">
        <values>
          <value t="str">
            <val>324.14</val>
          </value>
        </values>
      </ddeItem>
      <ddeItem name="2105.TW-DLOrderValueDiffRatio" advise="1">
        <values>
          <value>
            <val>0.19</val>
          </value>
        </values>
      </ddeItem>
      <ddeItem name="2105.TW-DXLOrderOutValueRatio" advise="1">
        <values>
          <value>
            <val>6.85</val>
          </value>
        </values>
      </ddeItem>
      <ddeItem name="2105.TW-DXLOrderValueDiffRatio" advise="1">
        <values>
          <value>
            <val>1.51</val>
          </value>
        </values>
      </ddeItem>
      <ddeItem name="2105.TW-ExchangeIndustry" advise="1">
        <values>
          <value t="str">
            <val>上市橡膠</val>
          </value>
        </values>
      </ddeItem>
      <ddeItem name="2105.TW-ID" advise="1">
        <values>
          <value t="str">
            <val>2105</val>
          </value>
        </values>
      </ddeItem>
      <ddeItem name="2105.TW-InOutRatioNumber" advise="1">
        <values>
          <value t="str">
            <val>47.95%</val>
          </value>
        </values>
      </ddeItem>
      <ddeItem name="2105.TW-Name" advise="1">
        <values>
          <value t="str">
            <val>正新</val>
          </value>
        </values>
      </ddeItem>
      <ddeItem name="2105.TW-PreTotalVolumeRate" advise="1">
        <values>
          <value>
            <val>0.35</val>
          </value>
        </values>
      </ddeItem>
      <ddeItem name="2105.TW-Price" advise="1">
        <values>
          <value>
            <val>35.049999999999997</val>
          </value>
        </values>
      </ddeItem>
      <ddeItem name="2105.TW-PriceChangeRatio" advise="1">
        <values>
          <value>
            <val>0.56999999999999995</val>
          </value>
        </values>
      </ddeItem>
      <ddeItem name="2105.TW-Time" advise="1">
        <values>
          <value t="str">
            <val>10:15:13</val>
          </value>
        </values>
      </ddeItem>
      <ddeItem name="2105.TW-VolumeRatio" advise="1">
        <values>
          <value>
            <val>0.8</val>
          </value>
        </values>
      </ddeItem>
      <ddeItem name="2106.TW-5DayAvgVol" advise="1">
        <values>
          <value>
            <val>792</val>
          </value>
        </values>
      </ddeItem>
      <ddeItem name="2106.TW-AvgPrice" advise="1">
        <values>
          <value>
            <val>31.3</val>
          </value>
        </values>
      </ddeItem>
      <ddeItem name="2106.TW-Capital" advise="1">
        <values>
          <value t="str">
            <val>90.94</val>
          </value>
        </values>
      </ddeItem>
      <ddeItem name="2106.TW-DLOrderValueDiffRatio" advise="1">
        <values>
          <value>
            <val>0</val>
          </value>
        </values>
      </ddeItem>
      <ddeItem name="2106.TW-DXLOrderOutValueRatio" advise="1">
        <values>
          <value>
            <val>0</val>
          </value>
        </values>
      </ddeItem>
      <ddeItem name="2106.TW-DXLOrderValueDiffRatio" advise="1">
        <values>
          <value>
            <val>0</val>
          </value>
        </values>
      </ddeItem>
      <ddeItem name="2106.TW-ExchangeIndustry" advise="1">
        <values>
          <value t="str">
            <val>上市橡膠</val>
          </value>
        </values>
      </ddeItem>
      <ddeItem name="2106.TW-ID" advise="1">
        <values>
          <value t="str">
            <val>2106</val>
          </value>
        </values>
      </ddeItem>
      <ddeItem name="2106.TW-InOutRatioNumber" advise="1">
        <values>
          <value t="str">
            <val>54.25%</val>
          </value>
        </values>
      </ddeItem>
      <ddeItem name="2106.TW-Name" advise="1">
        <values>
          <value t="str">
            <val>建大</val>
          </value>
        </values>
      </ddeItem>
      <ddeItem name="2106.TW-PreTotalVolumeRate" advise="1">
        <values>
          <value>
            <val>0.18</val>
          </value>
        </values>
      </ddeItem>
      <ddeItem name="2106.TW-Price" advise="1">
        <values>
          <value>
            <val>31.3</val>
          </value>
        </values>
      </ddeItem>
      <ddeItem name="2106.TW-PriceChangeRatio" advise="1">
        <values>
          <value>
            <val>0.16</val>
          </value>
        </values>
      </ddeItem>
      <ddeItem name="2106.TW-Time" advise="1">
        <values>
          <value t="str">
            <val>10:12:46</val>
          </value>
        </values>
      </ddeItem>
      <ddeItem name="2106.TW-VolumeRatio" advise="1">
        <values>
          <value>
            <val>0.43</val>
          </value>
        </values>
      </ddeItem>
      <ddeItem name="2107.TW-5DayAvgVol" advise="1">
        <values>
          <value>
            <val>984</val>
          </value>
        </values>
      </ddeItem>
      <ddeItem name="2107.TW-AvgPrice" advise="1">
        <values>
          <value>
            <val>22.89</val>
          </value>
        </values>
      </ddeItem>
      <ddeItem name="2107.TW-Capital" advise="1">
        <values>
          <value t="str">
            <val>34.23</val>
          </value>
        </values>
      </ddeItem>
      <ddeItem name="2107.TW-DLOrderValueDiffRatio" advise="1">
        <values>
          <value>
            <val>0</val>
          </value>
        </values>
      </ddeItem>
      <ddeItem name="2107.TW-DXLOrderOutValueRatio" advise="1">
        <values>
          <value>
            <val>0</val>
          </value>
        </values>
      </ddeItem>
      <ddeItem name="2107.TW-DXLOrderValueDiffRatio" advise="1">
        <values>
          <value>
            <val>0</val>
          </value>
        </values>
      </ddeItem>
      <ddeItem name="2107.TW-ExchangeIndustry" advise="1">
        <values>
          <value t="str">
            <val>上市橡膠</val>
          </value>
        </values>
      </ddeItem>
      <ddeItem name="2107.TW-ID" advise="1">
        <values>
          <value t="str">
            <val>2107</val>
          </value>
        </values>
      </ddeItem>
      <ddeItem name="2107.TW-InOutRatioNumber" advise="1">
        <values>
          <value t="str">
            <val>48.94%</val>
          </value>
        </values>
      </ddeItem>
      <ddeItem name="2107.TW-Name" advise="1">
        <values>
          <value t="str">
            <val>厚生</val>
          </value>
        </values>
      </ddeItem>
      <ddeItem name="2107.TW-PreTotalVolumeRate" advise="1">
        <values>
          <value>
            <val>0.09</val>
          </value>
        </values>
      </ddeItem>
      <ddeItem name="2107.TW-Price" advise="1">
        <values>
          <value>
            <val>22.9</val>
          </value>
        </values>
      </ddeItem>
      <ddeItem name="2107.TW-PriceChangeRatio" advise="1">
        <values>
          <value>
            <val>0.66</val>
          </value>
        </values>
      </ddeItem>
      <ddeItem name="2107.TW-Time" advise="1">
        <values>
          <value t="str">
            <val>10:10:01</val>
          </value>
        </values>
      </ddeItem>
      <ddeItem name="2107.TW-VolumeRatio" advise="1">
        <values>
          <value>
            <val>0.17</val>
          </value>
        </values>
      </ddeItem>
      <ddeItem name="2108.TW-5DayAvgVol" advise="1">
        <values>
          <value>
            <val>2459</val>
          </value>
        </values>
      </ddeItem>
      <ddeItem name="2108.TW-AvgPrice" advise="1">
        <values>
          <value>
            <val>84.08</val>
          </value>
        </values>
      </ddeItem>
      <ddeItem name="2108.TW-Capital" advise="1">
        <values>
          <value t="str">
            <val>49.24</val>
          </value>
        </values>
      </ddeItem>
      <ddeItem name="2108.TW-DLOrderValueDiffRatio" advise="1">
        <values>
          <value>
            <val>-9.4700000000000006</val>
          </value>
        </values>
      </ddeItem>
      <ddeItem name="2108.TW-DXLOrderOutValueRatio" advise="1">
        <values>
          <value>
            <val>0</val>
          </value>
        </values>
      </ddeItem>
      <ddeItem name="2108.TW-DXLOrderValueDiffRatio" advise="1">
        <values>
          <value>
            <val>-17.13</val>
          </value>
        </values>
      </ddeItem>
      <ddeItem name="2108.TW-ExchangeIndustry" advise="1">
        <values>
          <value t="str">
            <val>上市橡膠</val>
          </value>
        </values>
      </ddeItem>
      <ddeItem name="2108.TW-ID" advise="1">
        <values>
          <value t="str">
            <val>2108</val>
          </value>
        </values>
      </ddeItem>
      <ddeItem name="2108.TW-InOutRatioNumber" advise="1">
        <values>
          <value t="str">
            <val>25.77%</val>
          </value>
        </values>
      </ddeItem>
      <ddeItem name="2108.TW-Name" advise="1">
        <values>
          <value t="str">
            <val>南帝</val>
          </value>
        </values>
      </ddeItem>
      <ddeItem name="2108.TW-PreTotalVolumeRate" advise="1">
        <values>
          <value>
            <val>0.28999999999999998</val>
          </value>
        </values>
      </ddeItem>
      <ddeItem name="2108.TW-Price" advise="1">
        <values>
          <value>
            <val>83.5</val>
          </value>
        </values>
      </ddeItem>
      <ddeItem name="2108.TW-PriceChangeRatio" advise="1">
        <values>
          <value>
            <val>-1.88</val>
          </value>
        </values>
      </ddeItem>
      <ddeItem name="2108.TW-Time" advise="1">
        <values>
          <value t="str">
            <val>10:15:08</val>
          </value>
        </values>
      </ddeItem>
      <ddeItem name="2108.TW-VolumeRatio" advise="1">
        <values>
          <value>
            <val>0.63</val>
          </value>
        </values>
      </ddeItem>
      <ddeItem name="2109.TW-5DayAvgVol" advise="1">
        <values>
          <value>
            <val>265</val>
          </value>
        </values>
      </ddeItem>
      <ddeItem name="2109.TW-AvgPrice" advise="1">
        <values>
          <value>
            <val>15.82</val>
          </value>
        </values>
      </ddeItem>
      <ddeItem name="2109.TW-Capital" advise="1">
        <values>
          <value t="str">
            <val>27.93</val>
          </value>
        </values>
      </ddeItem>
      <ddeItem name="2109.TW-DLOrderValueDiffRatio" advise="1">
        <values>
          <value>
            <val>0</val>
          </value>
        </values>
      </ddeItem>
      <ddeItem name="2109.TW-DXLOrderOutValueRatio" advise="1">
        <values>
          <value>
            <val>0</val>
          </value>
        </values>
      </ddeItem>
      <ddeItem name="2109.TW-DXLOrderValueDiffRatio" advise="1">
        <values>
          <value>
            <val>0</val>
          </value>
        </values>
      </ddeItem>
      <ddeItem name="2109.TW-ExchangeIndustry" advise="1">
        <values>
          <value t="str">
            <val>上市橡膠</val>
          </value>
        </values>
      </ddeItem>
      <ddeItem name="2109.TW-ID" advise="1">
        <values>
          <value t="str">
            <val>2109</val>
          </value>
        </values>
      </ddeItem>
      <ddeItem name="2109.TW-InOutRatioNumber" advise="1">
        <values>
          <value t="str">
            <val>49.38%</val>
          </value>
        </values>
      </ddeItem>
      <ddeItem name="2109.TW-Name" advise="1">
        <values>
          <value t="str">
            <val>華豐</val>
          </value>
        </values>
      </ddeItem>
      <ddeItem name="2109.TW-PreTotalVolumeRate" advise="1">
        <values>
          <value>
            <val>0.56999999999999995</val>
          </value>
        </values>
      </ddeItem>
      <ddeItem name="2109.TW-Price" advise="1">
        <values>
          <value>
            <val>15.85</val>
          </value>
        </values>
      </ddeItem>
      <ddeItem name="2109.TW-PriceChangeRatio" advise="1">
        <values>
          <value>
            <val>0.96</val>
          </value>
        </values>
      </ddeItem>
      <ddeItem name="2109.TW-Time" advise="1">
        <values>
          <value t="str">
            <val>10:09:17</val>
          </value>
        </values>
      </ddeItem>
      <ddeItem name="2109.TW-VolumeRatio" advise="1">
        <values>
          <value>
            <val>2</val>
          </value>
        </values>
      </ddeItem>
      <ddeItem name="2114.TW-5DayAvgVol" advise="1">
        <values>
          <value>
            <val>90</val>
          </value>
        </values>
      </ddeItem>
      <ddeItem name="2114.TW-AvgPrice" advise="1">
        <values>
          <value>
            <val>117.68</val>
          </value>
        </values>
      </ddeItem>
      <ddeItem name="2114.TW-Capital" advise="1">
        <values>
          <value t="str">
            <val>7.80</val>
          </value>
        </values>
      </ddeItem>
      <ddeItem name="2114.TW-DLOrderValueDiffRatio" advise="1">
        <values>
          <value>
            <val>0</val>
          </value>
        </values>
      </ddeItem>
      <ddeItem name="2114.TW-DXLOrderOutValueRatio" advise="1">
        <values>
          <value>
            <val>0</val>
          </value>
        </values>
      </ddeItem>
      <ddeItem name="2114.TW-DXLOrderValueDiffRatio" advise="1">
        <values>
          <value>
            <val>0</val>
          </value>
        </values>
      </ddeItem>
      <ddeItem name="2114.TW-ExchangeIndustry" advise="1">
        <values>
          <value t="str">
            <val>上市橡膠</val>
          </value>
        </values>
      </ddeItem>
      <ddeItem name="2114.TW-ID" advise="1">
        <values>
          <value t="str">
            <val>2114</val>
          </value>
        </values>
      </ddeItem>
      <ddeItem name="2114.TW-InOutRatioNumber" advise="1">
        <values>
          <value t="str">
            <val>33.33%</val>
          </value>
        </values>
      </ddeItem>
      <ddeItem name="2114.TW-Name" advise="1">
        <values>
          <value t="str">
            <val>鑫永銓</val>
          </value>
        </values>
      </ddeItem>
      <ddeItem name="2114.TW-PreTotalVolumeRate" advise="1">
        <values>
          <value>
            <val>0.14000000000000001</val>
          </value>
        </values>
      </ddeItem>
      <ddeItem name="2114.TW-Price" advise="1">
        <values>
          <value>
            <val>117.5</val>
          </value>
        </values>
      </ddeItem>
      <ddeItem name="2114.TW-PriceChangeRatio" advise="1">
        <values>
          <value>
            <val>-0.42</val>
          </value>
        </values>
      </ddeItem>
      <ddeItem name="2114.TW-Time" advise="1">
        <values>
          <value t="str">
            <val>10:11:10</val>
          </value>
        </values>
      </ddeItem>
      <ddeItem name="2114.TW-VolumeRatio" advise="1">
        <values>
          <value>
            <val>0.27</val>
          </value>
        </values>
      </ddeItem>
      <ddeItem name="2115.TW-5DayAvgVol" advise="1">
        <values>
          <value>
            <val>30</val>
          </value>
        </values>
      </ddeItem>
      <ddeItem name="2115.TW-AvgPrice" advise="1">
        <values>
          <value>
            <val>40.049999999999997</val>
          </value>
        </values>
      </ddeItem>
      <ddeItem name="2115.TW-Capital" advise="1">
        <values>
          <value t="str">
            <val>9.94</val>
          </value>
        </values>
      </ddeItem>
      <ddeItem name="2115.TW-DLOrderValueDiffRatio" advise="1">
        <values>
          <value>
            <val>0</val>
          </value>
        </values>
      </ddeItem>
      <ddeItem name="2115.TW-DXLOrderOutValueRatio" advise="1">
        <values>
          <value>
            <val>0</val>
          </value>
        </values>
      </ddeItem>
      <ddeItem name="2115.TW-DXLOrderValueDiffRatio" advise="1">
        <values>
          <value>
            <val>0</val>
          </value>
        </values>
      </ddeItem>
      <ddeItem name="2115.TW-ExchangeIndustry" advise="1">
        <values>
          <value t="str">
            <val>上市汽車</val>
          </value>
        </values>
      </ddeItem>
      <ddeItem name="2115.TW-ID" advise="1">
        <values>
          <value t="str">
            <val>2115</val>
          </value>
        </values>
      </ddeItem>
      <ddeItem name="2115.TW-InOutRatioNumber" advise="1">
        <values>
          <value t="str">
            <val>0.00%</val>
          </value>
        </values>
      </ddeItem>
      <ddeItem name="2115.TW-Name" advise="1">
        <values>
          <value t="str">
            <val>六暉-KY</val>
          </value>
        </values>
      </ddeItem>
      <ddeItem name="2115.TW-PreTotalVolumeRate" advise="1">
        <values>
          <value>
            <val>0.13</val>
          </value>
        </values>
      </ddeItem>
      <ddeItem name="2115.TW-Price" advise="1">
        <values>
          <value>
            <val>40.049999999999997</val>
          </value>
        </values>
      </ddeItem>
      <ddeItem name="2115.TW-PriceChangeRatio" advise="1">
        <values>
          <value>
            <val>0</val>
          </value>
        </values>
      </ddeItem>
      <ddeItem name="2115.TW-Time" advise="1">
        <values>
          <value t="str">
            <val>09:33:37</val>
          </value>
        </values>
      </ddeItem>
      <ddeItem name="2115.TW-VolumeRatio" advise="1">
        <values>
          <value>
            <val>0</val>
          </value>
        </values>
      </ddeItem>
      <ddeItem name="2201.TW-5DayAvgVol" advise="1">
        <values>
          <value>
            <val>19020</val>
          </value>
        </values>
      </ddeItem>
      <ddeItem name="2201.TW-AvgPrice" advise="1">
        <values>
          <value>
            <val>43.73</val>
          </value>
        </values>
      </ddeItem>
      <ddeItem name="2201.TW-Capital" advise="1">
        <values>
          <value t="str">
            <val>100.00</val>
          </value>
        </values>
      </ddeItem>
      <ddeItem name="2201.TW-DLOrderValueDiffRatio" advise="1">
        <values>
          <value>
            <val>-7.72</val>
          </value>
        </values>
      </ddeItem>
      <ddeItem name="2201.TW-DXLOrderOutValueRatio" advise="1">
        <values>
          <value>
            <val>5.97</val>
          </value>
        </values>
      </ddeItem>
      <ddeItem name="2201.TW-DXLOrderValueDiffRatio" advise="1">
        <values>
          <value>
            <val>-17.89</val>
          </value>
        </values>
      </ddeItem>
      <ddeItem name="2201.TW-ExchangeIndustry" advise="1">
        <values>
          <value t="str">
            <val>上市汽車</val>
          </value>
        </values>
      </ddeItem>
      <ddeItem name="2201.TW-ID" advise="1">
        <values>
          <value t="str">
            <val>2201</val>
          </value>
        </values>
      </ddeItem>
      <ddeItem name="2201.TW-InOutRatioNumber" advise="1">
        <values>
          <value t="str">
            <val>35.89%</val>
          </value>
        </values>
      </ddeItem>
      <ddeItem name="2201.TW-Name" advise="1">
        <values>
          <value t="str">
            <val>裕隆</val>
          </value>
        </values>
      </ddeItem>
      <ddeItem name="2201.TW-PreTotalVolumeRate" advise="1">
        <values>
          <value>
            <val>0.45</val>
          </value>
        </values>
      </ddeItem>
      <ddeItem name="2201.TW-Price" advise="1">
        <values>
          <value>
            <val>43.7</val>
          </value>
        </values>
      </ddeItem>
      <ddeItem name="2201.TW-PriceChangeRatio" advise="1">
        <values>
          <value>
            <val>-1.24</val>
          </value>
        </values>
      </ddeItem>
      <ddeItem name="2201.TW-Time" advise="1">
        <values>
          <value t="str">
            <val>10:15:19</val>
          </value>
        </values>
      </ddeItem>
      <ddeItem name="2201.TW-VolumeRatio" advise="1">
        <values>
          <value>
            <val>1.01</val>
          </value>
        </values>
      </ddeItem>
      <ddeItem name="2204.TW-5DayAvgVol" advise="1">
        <values>
          <value>
            <val>1706</val>
          </value>
        </values>
      </ddeItem>
      <ddeItem name="2204.TW-AvgPrice" advise="1">
        <values>
          <value>
            <val>70.17</val>
          </value>
        </values>
      </ddeItem>
      <ddeItem name="2204.TW-Capital" advise="1">
        <values>
          <value t="str">
            <val>55.36</val>
          </value>
        </values>
      </ddeItem>
      <ddeItem name="2204.TW-DLOrderValueDiffRatio" advise="1">
        <values>
          <value>
            <val>-5.9</val>
          </value>
        </values>
      </ddeItem>
      <ddeItem name="2204.TW-DXLOrderOutValueRatio" advise="1">
        <values>
          <value>
            <val>0</val>
          </value>
        </values>
      </ddeItem>
      <ddeItem name="2204.TW-DXLOrderValueDiffRatio" advise="1">
        <values>
          <value>
            <val>0</val>
          </value>
        </values>
      </ddeItem>
      <ddeItem name="2204.TW-ExchangeIndustry" advise="1">
        <values>
          <value t="str">
            <val>上市汽車</val>
          </value>
        </values>
      </ddeItem>
      <ddeItem name="2204.TW-ID" advise="1">
        <values>
          <value t="str">
            <val>2204</val>
          </value>
        </values>
      </ddeItem>
      <ddeItem name="2204.TW-InOutRatioNumber" advise="1">
        <values>
          <value t="str">
            <val>52.48%</val>
          </value>
        </values>
      </ddeItem>
      <ddeItem name="2204.TW-Name" advise="1">
        <values>
          <value t="str">
            <val>中華</val>
          </value>
        </values>
      </ddeItem>
      <ddeItem name="2204.TW-PreTotalVolumeRate" advise="1">
        <values>
          <value>
            <val>0.19</val>
          </value>
        </values>
      </ddeItem>
      <ddeItem name="2204.TW-Price" advise="1">
        <values>
          <value>
            <val>70.5</val>
          </value>
        </values>
      </ddeItem>
      <ddeItem name="2204.TW-PriceChangeRatio" advise="1">
        <values>
          <value>
            <val>0.71</val>
          </value>
        </values>
      </ddeItem>
      <ddeItem name="2204.TW-Time" advise="1">
        <values>
          <value t="str">
            <val>10:15:06</val>
          </value>
        </values>
      </ddeItem>
      <ddeItem name="2204.TW-VolumeRatio" advise="1">
        <values>
          <value>
            <val>0.37</val>
          </value>
        </values>
      </ddeItem>
      <ddeItem name="2206.TW-5DayAvgVol" advise="1">
        <values>
          <value>
            <val>584</val>
          </value>
        </values>
      </ddeItem>
      <ddeItem name="2206.TW-AvgPrice" advise="1">
        <values>
          <value>
            <val>26.6</val>
          </value>
        </values>
      </ddeItem>
      <ddeItem name="2206.TW-Capital" advise="1">
        <values>
          <value t="str">
            <val>80.31</val>
          </value>
        </values>
      </ddeItem>
      <ddeItem name="2206.TW-DLOrderValueDiffRatio" advise="1">
        <values>
          <value>
            <val>12.24</val>
          </value>
        </values>
      </ddeItem>
      <ddeItem name="2206.TW-DXLOrderOutValueRatio" advise="1">
        <values>
          <value>
            <val>0</val>
          </value>
        </values>
      </ddeItem>
      <ddeItem name="2206.TW-DXLOrderValueDiffRatio" advise="1">
        <values>
          <value>
            <val>0</val>
          </value>
        </values>
      </ddeItem>
      <ddeItem name="2206.TW-ExchangeIndustry" advise="1">
        <values>
          <value t="str">
            <val>上市汽車</val>
          </value>
        </values>
      </ddeItem>
      <ddeItem name="2206.TW-ID" advise="1">
        <values>
          <value t="str">
            <val>2206</val>
          </value>
        </values>
      </ddeItem>
      <ddeItem name="2206.TW-InOutRatioNumber" advise="1">
        <values>
          <value t="str">
            <val>52.94%</val>
          </value>
        </values>
      </ddeItem>
      <ddeItem name="2206.TW-Name" advise="1">
        <values>
          <value t="str">
            <val>三陽工業</val>
          </value>
        </values>
      </ddeItem>
      <ddeItem name="2206.TW-PreTotalVolumeRate" advise="1">
        <values>
          <value>
            <val>0.34</val>
          </value>
        </values>
      </ddeItem>
      <ddeItem name="2206.TW-Price" advise="1">
        <values>
          <value>
            <val>26.6</val>
          </value>
        </values>
      </ddeItem>
      <ddeItem name="2206.TW-PriceChangeRatio" advise="1">
        <values>
          <value>
            <val>-0.19</val>
          </value>
        </values>
      </ddeItem>
      <ddeItem name="2206.TW-Time" advise="1">
        <values>
          <value t="str">
            <val>10:14:24</val>
          </value>
        </values>
      </ddeItem>
      <ddeItem name="2206.TW-VolumeRatio" advise="1">
        <values>
          <value>
            <val>0.88</val>
          </value>
        </values>
      </ddeItem>
      <ddeItem name="2207.TW-5DayAvgVol" advise="1">
        <values>
          <value>
            <val>218</val>
          </value>
        </values>
      </ddeItem>
      <ddeItem name="2207.TW-AvgPrice" advise="1">
        <values>
          <value>
            <val>596.80999999999995</val>
          </value>
        </values>
      </ddeItem>
      <ddeItem name="2207.TW-Capital" advise="1">
        <values>
          <value t="str">
            <val>54.62</val>
          </value>
        </values>
      </ddeItem>
      <ddeItem name="2207.TW-DLOrderValueDiffRatio" advise="1">
        <values>
          <value>
            <val>0</val>
          </value>
        </values>
      </ddeItem>
      <ddeItem name="2207.TW-DXLOrderOutValueRatio" advise="1">
        <values>
          <value>
            <val>0</val>
          </value>
        </values>
      </ddeItem>
      <ddeItem name="2207.TW-DXLOrderValueDiffRatio" advise="1">
        <values>
          <value>
            <val>0</val>
          </value>
        </values>
      </ddeItem>
      <ddeItem name="2207.TW-ExchangeIndustry" advise="1">
        <values>
          <value t="str">
            <val>上市汽車</val>
          </value>
        </values>
      </ddeItem>
      <ddeItem name="2207.TW-ID" advise="1">
        <values>
          <value t="str">
            <val>2207</val>
          </value>
        </values>
      </ddeItem>
      <ddeItem name="2207.TW-InOutRatioNumber" advise="1">
        <values>
          <value t="str">
            <val>44.44%</val>
          </value>
        </values>
      </ddeItem>
      <ddeItem name="2207.TW-Name" advise="1">
        <values>
          <value t="str">
            <val>和泰車</val>
          </value>
        </values>
      </ddeItem>
      <ddeItem name="2207.TW-PreTotalVolumeRate" advise="1">
        <values>
          <value>
            <val>7.0000000000000007E-2</val>
          </value>
        </values>
      </ddeItem>
      <ddeItem name="2207.TW-Price" advise="1">
        <values>
          <value>
            <val>596</val>
          </value>
        </values>
      </ddeItem>
      <ddeItem name="2207.TW-PriceChangeRatio" advise="1">
        <values>
          <value>
            <val>-0.33</val>
          </value>
        </values>
      </ddeItem>
      <ddeItem name="2207.TW-Time" advise="1">
        <values>
          <value t="str">
            <val>09:42:41</val>
          </value>
        </values>
      </ddeItem>
      <ddeItem name="2207.TW-VolumeRatio" advise="1">
        <values>
          <value>
            <val>0.19</val>
          </value>
        </values>
      </ddeItem>
      <ddeItem name="2211.TW-5DayAvgVol" advise="1">
        <values>
          <value>
            <val>305</val>
          </value>
        </values>
      </ddeItem>
      <ddeItem name="2211.TW-AvgPrice" advise="1">
        <values>
          <value>
            <val>47.71</val>
          </value>
        </values>
      </ddeItem>
      <ddeItem name="2211.TW-Capital" advise="1">
        <values>
          <value t="str">
            <val>42.00</val>
          </value>
        </values>
      </ddeItem>
      <ddeItem name="2211.TW-DLOrderValueDiffRatio" advise="1">
        <values>
          <value>
            <val>0</val>
          </value>
        </values>
      </ddeItem>
      <ddeItem name="2211.TW-DXLOrderOutValueRatio" advise="1">
        <values>
          <value>
            <val>0</val>
          </value>
        </values>
      </ddeItem>
      <ddeItem name="2211.TW-DXLOrderValueDiffRatio" advise="1">
        <values>
          <value>
            <val>0</val>
          </value>
        </values>
      </ddeItem>
      <ddeItem name="2211.TW-ExchangeIndustry" advise="1">
        <values>
          <value t="str">
            <val>上市鋼鐵</val>
          </value>
        </values>
      </ddeItem>
      <ddeItem name="2211.TW-ID" advise="1">
        <values>
          <value t="str">
            <val>2211</val>
          </value>
        </values>
      </ddeItem>
      <ddeItem name="2211.TW-InOutRatioNumber" advise="1">
        <values>
          <value t="str">
            <val>31.11%</val>
          </value>
        </values>
      </ddeItem>
      <ddeItem name="2211.TW-Name" advise="1">
        <values>
          <value t="str">
            <val>長榮鋼</val>
          </value>
        </values>
      </ddeItem>
      <ddeItem name="2211.TW-PreTotalVolumeRate" advise="1">
        <values>
          <value>
            <val>0.15</val>
          </value>
        </values>
      </ddeItem>
      <ddeItem name="2211.TW-Price" advise="1">
        <values>
          <value>
            <val>47.7</val>
          </value>
        </values>
      </ddeItem>
      <ddeItem name="2211.TW-PriceChangeRatio" advise="1">
        <values>
          <value>
            <val>0</val>
          </value>
        </values>
      </ddeItem>
      <ddeItem name="2211.TW-Time" advise="1">
        <values>
          <value t="str">
            <val>10:15:18</val>
          </value>
        </values>
      </ddeItem>
      <ddeItem name="2211.TW-VolumeRatio" advise="1">
        <values>
          <value>
            <val>0.39</val>
          </value>
        </values>
      </ddeItem>
      <ddeItem name="2227.TW-5DayAvgVol" advise="1">
        <values>
          <value>
            <val>38</val>
          </value>
        </values>
      </ddeItem>
      <ddeItem name="2227.TW-AvgPrice" advise="1">
        <values>
          <value>
            <val>257.44</val>
          </value>
        </values>
      </ddeItem>
      <ddeItem name="2227.TW-Capital" advise="1">
        <values>
          <value t="str">
            <val>30.00</val>
          </value>
        </values>
      </ddeItem>
      <ddeItem name="2227.TW-DLOrderValueDiffRatio" advise="1">
        <values>
          <value>
            <val>0</val>
          </value>
        </values>
      </ddeItem>
      <ddeItem name="2227.TW-DXLOrderOutValueRatio" advise="1">
        <values>
          <value>
            <val>0</val>
          </value>
        </values>
      </ddeItem>
      <ddeItem name="2227.TW-DXLOrderValueDiffRatio" advise="1">
        <values>
          <value>
            <val>0</val>
          </value>
        </values>
      </ddeItem>
      <ddeItem name="2227.TW-ExchangeIndustry" advise="1">
        <values>
          <value t="str">
            <val>上市汽車</val>
          </value>
        </values>
      </ddeItem>
      <ddeItem name="2227.TW-ID" advise="1">
        <values>
          <value t="str">
            <val>2227</val>
          </value>
        </values>
      </ddeItem>
      <ddeItem name="2227.TW-InOutRatioNumber" advise="1">
        <values>
          <value t="str">
            <val>75.00%</val>
          </value>
        </values>
      </ddeItem>
      <ddeItem name="2227.TW-Name" advise="1">
        <values>
          <value t="str">
            <val>裕日車</val>
          </value>
        </values>
      </ddeItem>
      <ddeItem name="2227.TW-PreTotalVolumeRate" advise="1">
        <values>
          <value>
            <val>0.21</val>
          </value>
        </values>
      </ddeItem>
      <ddeItem name="2227.TW-Price" advise="1">
        <values>
          <value>
            <val>255.5</val>
          </value>
        </values>
      </ddeItem>
      <ddeItem name="2227.TW-PriceChangeRatio" advise="1">
        <values>
          <value>
            <val>0.39</val>
          </value>
        </values>
      </ddeItem>
      <ddeItem name="2227.TW-Time" advise="1">
        <values>
          <value t="str">
            <val>10:14:54</val>
          </value>
        </values>
      </ddeItem>
      <ddeItem name="2227.TW-VolumeRatio" advise="1">
        <values>
          <value>
            <val>1.47</val>
          </value>
        </values>
      </ddeItem>
      <ddeItem name="2228.TW-5DayAvgVol" advise="1">
        <values>
          <value>
            <val>112</val>
          </value>
        </values>
      </ddeItem>
      <ddeItem name="2228.TW-AvgPrice" advise="1">
        <values>
          <value>
            <val>67.510000000000005</val>
          </value>
        </values>
      </ddeItem>
      <ddeItem name="2228.TW-Capital" advise="1">
        <values>
          <value t="str">
            <val>7.58</val>
          </value>
        </values>
      </ddeItem>
      <ddeItem name="2228.TW-DLOrderValueDiffRatio" advise="1">
        <values>
          <value>
            <val>0</val>
          </value>
        </values>
      </ddeItem>
      <ddeItem name="2228.TW-DXLOrderOutValueRatio" advise="1">
        <values>
          <value>
            <val>0</val>
          </value>
        </values>
      </ddeItem>
      <ddeItem name="2228.TW-DXLOrderValueDiffRatio" advise="1">
        <values>
          <value>
            <val>0</val>
          </value>
        </values>
      </ddeItem>
      <ddeItem name="2228.TW-ExchangeIndustry" advise="1">
        <values>
          <value t="str">
            <val>上市汽車</val>
          </value>
        </values>
      </ddeItem>
      <ddeItem name="2228.TW-ID" advise="1">
        <values>
          <value t="str">
            <val>2228</val>
          </value>
        </values>
      </ddeItem>
      <ddeItem name="2228.TW-InOutRatioNumber" advise="1">
        <values>
          <value t="str">
            <val>10.00%</val>
          </value>
        </values>
      </ddeItem>
      <ddeItem name="2228.TW-Name" advise="1">
        <values>
          <value t="str">
            <val>劍麟</val>
          </value>
        </values>
      </ddeItem>
      <ddeItem name="2228.TW-PreTotalVolumeRate" advise="1">
        <values>
          <value>
            <val>0.2</val>
          </value>
        </values>
      </ddeItem>
      <ddeItem name="2228.TW-Price" advise="1">
        <values>
          <value>
            <val>67.400000000000006</val>
          </value>
        </values>
      </ddeItem>
      <ddeItem name="2228.TW-PriceChangeRatio" advise="1">
        <values>
          <value>
            <val>-0.15</val>
          </value>
        </values>
      </ddeItem>
      <ddeItem name="2228.TW-Time" advise="1">
        <values>
          <value t="str">
            <val>10:04:45</val>
          </value>
        </values>
      </ddeItem>
      <ddeItem name="2228.TW-VolumeRatio" advise="1">
        <values>
          <value>
            <val>0.4</val>
          </value>
        </values>
      </ddeItem>
      <ddeItem name="2231.TW-5DayAvgVol" advise="1">
        <values>
          <value>
            <val>455</val>
          </value>
        </values>
      </ddeItem>
      <ddeItem name="2231.TW-AvgPrice" advise="1">
        <values>
          <value>
            <val>152.41999999999999</val>
          </value>
        </values>
      </ddeItem>
      <ddeItem name="2231.TW-Capital" advise="1">
        <values>
          <value t="str">
            <val>12.19</val>
          </value>
        </values>
      </ddeItem>
      <ddeItem name="2231.TW-DLOrderValueDiffRatio" advise="1">
        <values>
          <value>
            <val>0</val>
          </value>
        </values>
      </ddeItem>
      <ddeItem name="2231.TW-DXLOrderOutValueRatio" advise="1">
        <values>
          <value>
            <val>0</val>
          </value>
        </values>
      </ddeItem>
      <ddeItem name="2231.TW-DXLOrderValueDiffRatio" advise="1">
        <values>
          <value>
            <val>0</val>
          </value>
        </values>
      </ddeItem>
      <ddeItem name="2231.TW-ExchangeIndustry" advise="1">
        <values>
          <value t="str">
            <val>上市汽車</val>
          </value>
        </values>
      </ddeItem>
      <ddeItem name="2231.TW-ID" advise="1">
        <values>
          <value t="str">
            <val>2231</val>
          </value>
        </values>
      </ddeItem>
      <ddeItem name="2231.TW-InOutRatioNumber" advise="1">
        <values>
          <value t="str">
            <val>38.46%</val>
          </value>
        </values>
      </ddeItem>
      <ddeItem name="2231.TW-Name" advise="1">
        <values>
          <value t="str">
            <val>為升</val>
          </value>
        </values>
      </ddeItem>
      <ddeItem name="2231.TW-PreTotalVolumeRate" advise="1">
        <values>
          <value>
            <val>0.16</val>
          </value>
        </values>
      </ddeItem>
      <ddeItem name="2231.TW-Price" advise="1">
        <values>
          <value>
            <val>152</val>
          </value>
        </values>
      </ddeItem>
      <ddeItem name="2231.TW-PriceChangeRatio" advise="1">
        <values>
          <value>
            <val>-0.33</val>
          </value>
        </values>
      </ddeItem>
      <ddeItem name="2231.TW-Time" advise="1">
        <values>
          <value t="str">
            <val>10:07:51</val>
          </value>
        </values>
      </ddeItem>
      <ddeItem name="2231.TW-VolumeRatio" advise="1">
        <values>
          <value>
            <val>0.49</val>
          </value>
        </values>
      </ddeItem>
      <ddeItem name="2233.TW-5DayAvgVol" advise="1">
        <values>
          <value>
            <val>622</val>
          </value>
        </values>
      </ddeItem>
      <ddeItem name="2233.TW-AvgPrice" advise="1">
        <values>
          <value>
            <val>94.74</val>
          </value>
        </values>
      </ddeItem>
      <ddeItem name="2233.TW-Capital" advise="1">
        <values>
          <value t="str">
            <val>6.03</val>
          </value>
        </values>
      </ddeItem>
      <ddeItem name="2233.TW-DLOrderValueDiffRatio" advise="1">
        <values>
          <value>
            <val>29.88</val>
          </value>
        </values>
      </ddeItem>
      <ddeItem name="2233.TW-DXLOrderOutValueRatio" advise="1">
        <values>
          <value>
            <val>0</val>
          </value>
        </values>
      </ddeItem>
      <ddeItem name="2233.TW-DXLOrderValueDiffRatio" advise="1">
        <values>
          <value>
            <val>-6.46</val>
          </value>
        </values>
      </ddeItem>
      <ddeItem name="2233.TW-ExchangeIndustry" advise="1">
        <values>
          <value t="str">
            <val>上市汽車</val>
          </value>
        </values>
      </ddeItem>
      <ddeItem name="2233.TW-ID" advise="1">
        <values>
          <value t="str">
            <val>2233</val>
          </value>
        </values>
      </ddeItem>
      <ddeItem name="2233.TW-InOutRatioNumber" advise="1">
        <values>
          <value t="str">
            <val>70.35%</val>
          </value>
        </values>
      </ddeItem>
      <ddeItem name="2233.TW-Name" advise="1">
        <values>
          <value t="str">
            <val>宇隆</val>
          </value>
        </values>
      </ddeItem>
      <ddeItem name="2233.TW-PreTotalVolumeRate" advise="1">
        <values>
          <value>
            <val>0.41</val>
          </value>
        </values>
      </ddeItem>
      <ddeItem name="2233.TW-Price" advise="1">
        <values>
          <value>
            <val>95.6</val>
          </value>
        </values>
      </ddeItem>
      <ddeItem name="2233.TW-PriceChangeRatio" advise="1">
        <values>
          <value>
            <val>0.74</val>
          </value>
        </values>
      </ddeItem>
      <ddeItem name="2233.TW-Time" advise="1">
        <values>
          <value t="str">
            <val>10:13:54</val>
          </value>
        </values>
      </ddeItem>
      <ddeItem name="2233.TW-VolumeRatio" advise="1">
        <values>
          <value>
            <val>1.18</val>
          </value>
        </values>
      </ddeItem>
      <ddeItem name="2236.TW-5DayAvgVol" advise="1">
        <values>
          <value>
            <val>81</val>
          </value>
        </values>
      </ddeItem>
      <ddeItem name="2236.TW-AvgPrice" advise="1">
        <values>
          <value>
            <val>28.18</val>
          </value>
        </values>
      </ddeItem>
      <ddeItem name="2236.TW-Capital" advise="1">
        <values>
          <value t="str">
            <val>4.58</val>
          </value>
        </values>
      </ddeItem>
      <ddeItem name="2236.TW-DLOrderValueDiffRatio" advise="1">
        <values>
          <value>
            <val>0</val>
          </value>
        </values>
      </ddeItem>
      <ddeItem name="2236.TW-DXLOrderOutValueRatio" advise="1">
        <values>
          <value>
            <val>0</val>
          </value>
        </values>
      </ddeItem>
      <ddeItem name="2236.TW-DXLOrderValueDiffRatio" advise="1">
        <values>
          <value>
            <val>0</val>
          </value>
        </values>
      </ddeItem>
      <ddeItem name="2236.TW-ExchangeIndustry" advise="1">
        <values>
          <value t="str">
            <val>上市汽車</val>
          </value>
        </values>
      </ddeItem>
      <ddeItem name="2236.TW-ID" advise="1">
        <values>
          <value t="str">
            <val>2236</val>
          </value>
        </values>
      </ddeItem>
      <ddeItem name="2236.TW-InOutRatioNumber" advise="1">
        <values>
          <value t="str">
            <val>75.76%</val>
          </value>
        </values>
      </ddeItem>
      <ddeItem name="2236.TW-Name" advise="1">
        <values>
          <value t="str">
            <val>百達-KY</val>
          </value>
        </values>
      </ddeItem>
      <ddeItem name="2236.TW-PreTotalVolumeRate" advise="1">
        <values>
          <value>
            <val>0.64</val>
          </value>
        </values>
      </ddeItem>
      <ddeItem name="2236.TW-Price" advise="1">
        <values>
          <value>
            <val>28.45</val>
          </value>
        </values>
      </ddeItem>
      <ddeItem name="2236.TW-PriceChangeRatio" advise="1">
        <values>
          <value>
            <val>2.34</val>
          </value>
        </values>
      </ddeItem>
      <ddeItem name="2236.TW-Time" advise="1">
        <values>
          <value t="str">
            <val>10:08:22</val>
          </value>
        </values>
      </ddeItem>
      <ddeItem name="2236.TW-VolumeRatio" advise="1">
        <values>
          <value>
            <val>1.1100000000000001</val>
          </value>
        </values>
      </ddeItem>
      <ddeItem name="2239.TW-5DayAvgVol" advise="1">
        <values>
          <value>
            <val>174</val>
          </value>
        </values>
      </ddeItem>
      <ddeItem name="2239.TW-AvgPrice" advise="1">
        <values>
          <value>
            <val>60.76</val>
          </value>
        </values>
      </ddeItem>
      <ddeItem name="2239.TW-Capital" advise="1">
        <values>
          <value t="str">
            <val>11.80</val>
          </value>
        </values>
      </ddeItem>
      <ddeItem name="2239.TW-DLOrderValueDiffRatio" advise="1">
        <values>
          <value>
            <val>0</val>
          </value>
        </values>
      </ddeItem>
      <ddeItem name="2239.TW-DXLOrderOutValueRatio" advise="1">
        <values>
          <value>
            <val>0</val>
          </value>
        </values>
      </ddeItem>
      <ddeItem name="2239.TW-DXLOrderValueDiffRatio" advise="1">
        <values>
          <value>
            <val>0</val>
          </value>
        </values>
      </ddeItem>
      <ddeItem name="2239.TW-ExchangeIndustry" advise="1">
        <values>
          <value t="str">
            <val>上市汽車</val>
          </value>
        </values>
      </ddeItem>
      <ddeItem name="2239.TW-ID" advise="1">
        <values>
          <value t="str">
            <val>2239</val>
          </value>
        </values>
      </ddeItem>
      <ddeItem name="2239.TW-InOutRatioNumber" advise="1">
        <values>
          <value t="str">
            <val>74.78%</val>
          </value>
        </values>
      </ddeItem>
      <ddeItem name="2239.TW-Name" advise="1">
        <values>
          <value t="str">
            <val>英利-KY</val>
          </value>
        </values>
      </ddeItem>
      <ddeItem name="2239.TW-PreTotalVolumeRate" advise="1">
        <values>
          <value>
            <val>0.44</val>
          </value>
        </values>
      </ddeItem>
      <ddeItem name="2239.TW-Price" advise="1">
        <values>
          <value>
            <val>61.4</val>
          </value>
        </values>
      </ddeItem>
      <ddeItem name="2239.TW-PriceChangeRatio" advise="1">
        <values>
          <value>
            <val>2.85</val>
          </value>
        </values>
      </ddeItem>
      <ddeItem name="2239.TW-Time" advise="1">
        <values>
          <value t="str">
            <val>10:15:11</val>
          </value>
        </values>
      </ddeItem>
      <ddeItem name="2239.TW-VolumeRatio" advise="1">
        <values>
          <value>
            <val>0.79</val>
          </value>
        </values>
      </ddeItem>
      <ddeItem name="2241.TW-5DayAvgVol" advise="1">
        <values>
          <value>
            <val>86</val>
          </value>
        </values>
      </ddeItem>
      <ddeItem name="2241.TW-AvgPrice" advise="1">
        <values>
          <value>
            <val>56.24</val>
          </value>
        </values>
      </ddeItem>
      <ddeItem name="2241.TW-Capital" advise="1">
        <values>
          <value t="str">
            <val>8.99</val>
          </value>
        </values>
      </ddeItem>
      <ddeItem name="2241.TW-DLOrderValueDiffRatio" advise="1">
        <values>
          <value>
            <val>0</val>
          </value>
        </values>
      </ddeItem>
      <ddeItem name="2241.TW-DXLOrderOutValueRatio" advise="1">
        <values>
          <value>
            <val>0</val>
          </value>
        </values>
      </ddeItem>
      <ddeItem name="2241.TW-DXLOrderValueDiffRatio" advise="1">
        <values>
          <value>
            <val>0</val>
          </value>
        </values>
      </ddeItem>
      <ddeItem name="2241.TW-ExchangeIndustry" advise="1">
        <values>
          <value t="str">
            <val>上市汽車</val>
          </value>
        </values>
      </ddeItem>
      <ddeItem name="2241.TW-ID" advise="1">
        <values>
          <value t="str">
            <val>2241</val>
          </value>
        </values>
      </ddeItem>
      <ddeItem name="2241.TW-InOutRatioNumber" advise="1">
        <values>
          <value t="str">
            <val>33.33%</val>
          </value>
        </values>
      </ddeItem>
      <ddeItem name="2241.TW-Name" advise="1">
        <values>
          <value t="str">
            <val>艾姆勒</val>
          </value>
        </values>
      </ddeItem>
      <ddeItem name="2241.TW-PreTotalVolumeRate" advise="1">
        <values>
          <value>
            <val>0.4</val>
          </value>
        </values>
      </ddeItem>
      <ddeItem name="2241.TW-Price" advise="1">
        <values>
          <value>
            <val>56</val>
          </value>
        </values>
      </ddeItem>
      <ddeItem name="2241.TW-PriceChangeRatio" advise="1">
        <values>
          <value>
            <val>0</val>
          </value>
        </values>
      </ddeItem>
      <ddeItem name="2241.TW-Time" advise="1">
        <values>
          <value t="str">
            <val>10:12:31</val>
          </value>
        </values>
      </ddeItem>
      <ddeItem name="2241.TW-VolumeRatio" advise="1">
        <values>
          <value>
            <val>0.84</val>
          </value>
        </values>
      </ddeItem>
      <ddeItem name="2243.TW-5DayAvgVol" advise="1">
        <values>
          <value>
            <val>3444</val>
          </value>
        </values>
      </ddeItem>
      <ddeItem name="2243.TW-AvgPrice" advise="1">
        <values>
          <value>
            <val>22.77</val>
          </value>
        </values>
      </ddeItem>
      <ddeItem name="2243.TW-Capital" advise="1">
        <values>
          <value t="str">
            <val>4.59</val>
          </value>
        </values>
      </ddeItem>
      <ddeItem name="2243.TW-DLOrderValueDiffRatio" advise="1">
        <values>
          <value>
            <val>0.6</val>
          </value>
        </values>
      </ddeItem>
      <ddeItem name="2243.TW-DXLOrderOutValueRatio" advise="1">
        <values>
          <value>
            <val>9.98</val>
          </value>
        </values>
      </ddeItem>
      <ddeItem name="2243.TW-DXLOrderValueDiffRatio" advise="1">
        <values>
          <value>
            <val>8.44</val>
          </value>
        </values>
      </ddeItem>
      <ddeItem name="2243.TW-ExchangeIndustry" advise="1">
        <values>
          <value t="str">
            <val>上市汽車</val>
          </value>
        </values>
      </ddeItem>
      <ddeItem name="2243.TW-ID" advise="1">
        <values>
          <value t="str">
            <val>2243</val>
          </value>
        </values>
      </ddeItem>
      <ddeItem name="2243.TW-InOutRatioNumber" advise="1">
        <values>
          <value t="str">
            <val>56.75%</val>
          </value>
        </values>
      </ddeItem>
      <ddeItem name="2243.TW-Name" advise="1">
        <values>
          <value t="str">
            <val>宏旭-KY</val>
          </value>
        </values>
      </ddeItem>
      <ddeItem name="2243.TW-PreTotalVolumeRate" advise="1">
        <values>
          <value>
            <val>0.54</val>
          </value>
        </values>
      </ddeItem>
      <ddeItem name="2243.TW-Price" advise="1">
        <values>
          <value>
            <val>23.35</val>
          </value>
        </values>
      </ddeItem>
      <ddeItem name="2243.TW-PriceChangeRatio" advise="1">
        <values>
          <value>
            <val>9.8800000000000008</val>
          </value>
        </values>
      </ddeItem>
      <ddeItem name="2243.TW-Time" advise="1">
        <values>
          <value t="str">
            <val>10:14:36</val>
          </value>
        </values>
      </ddeItem>
      <ddeItem name="2243.TW-VolumeRatio" advise="1">
        <values>
          <value>
            <val>0.83</val>
          </value>
        </values>
      </ddeItem>
      <ddeItem name="2247.TW-5DayAvgVol" advise="1">
        <values>
          <value>
            <val>55</val>
          </value>
        </values>
      </ddeItem>
      <ddeItem name="2247.TW-AvgPrice" advise="1">
        <values>
          <value>
            <val>210</val>
          </value>
        </values>
      </ddeItem>
      <ddeItem name="2247.TW-Capital" advise="1">
        <values>
          <value t="str">
            <val>8.07</val>
          </value>
        </values>
      </ddeItem>
      <ddeItem name="2247.TW-DLOrderValueDiffRatio" advise="1">
        <values>
          <value>
            <val>0</val>
          </value>
        </values>
      </ddeItem>
      <ddeItem name="2247.TW-DXLOrderOutValueRatio" advise="1">
        <values>
          <value>
            <val>0</val>
          </value>
        </values>
      </ddeItem>
      <ddeItem name="2247.TW-DXLOrderValueDiffRatio" advise="1">
        <values>
          <value>
            <val>0</val>
          </value>
        </values>
      </ddeItem>
      <ddeItem name="2247.TW-ExchangeIndustry" advise="1">
        <values>
          <value t="str">
            <val>上市汽車</val>
          </value>
        </values>
      </ddeItem>
      <ddeItem name="2247.TW-ID" advise="1">
        <values>
          <value t="str">
            <val>2247</val>
          </value>
        </values>
      </ddeItem>
      <ddeItem name="2247.TW-InOutRatioNumber" advise="1">
        <values>
          <value t="str">
            <val>87.50%</val>
          </value>
        </values>
      </ddeItem>
      <ddeItem name="2247.TW-Name" advise="1">
        <values>
          <value t="str">
            <val>汎德永業</val>
          </value>
        </values>
      </ddeItem>
      <ddeItem name="2247.TW-PreTotalVolumeRate" advise="1">
        <values>
          <value>
            <val>0.12</val>
          </value>
        </values>
      </ddeItem>
      <ddeItem name="2247.TW-Price" advise="1">
        <values>
          <value>
            <val>210</val>
          </value>
        </values>
      </ddeItem>
      <ddeItem name="2247.TW-PriceChangeRatio" advise="1">
        <values>
          <value>
            <val>0.24</val>
          </value>
        </values>
      </ddeItem>
      <ddeItem name="2247.TW-Time" advise="1">
        <values>
          <value t="str">
            <val>09:46:13</val>
          </value>
        </values>
      </ddeItem>
      <ddeItem name="2247.TW-VolumeRatio" advise="1">
        <values>
          <value>
            <val>1.07</val>
          </value>
        </values>
      </ddeItem>
      <ddeItem name="2250.TW-5DayAvgVol" advise="1">
        <values>
          <value>
            <val>72</val>
          </value>
        </values>
      </ddeItem>
      <ddeItem name="2250.TW-AvgPrice" advise="1">
        <values>
          <value>
            <val>100.17</val>
          </value>
        </values>
      </ddeItem>
      <ddeItem name="2250.TW-Capital" advise="1">
        <values>
          <value t="str">
            <val>2.70</val>
          </value>
        </values>
      </ddeItem>
      <ddeItem name="2250.TW-DLOrderValueDiffRatio" advise="1">
        <values>
          <value>
            <val>0</val>
          </value>
        </values>
      </ddeItem>
      <ddeItem name="2250.TW-DXLOrderOutValueRatio" advise="1">
        <values>
          <value>
            <val>0</val>
          </value>
        </values>
      </ddeItem>
      <ddeItem name="2250.TW-DXLOrderValueDiffRatio" advise="1">
        <values>
          <value>
            <val>0</val>
          </value>
        </values>
      </ddeItem>
      <ddeItem name="2250.TW-ExchangeIndustry" advise="1">
        <values>
          <value t="str">
            <val>上市汽車</val>
          </value>
        </values>
      </ddeItem>
      <ddeItem name="2250.TW-ID" advise="1">
        <values>
          <value t="str">
            <val>2250</val>
          </value>
        </values>
      </ddeItem>
      <ddeItem name="2250.TW-InOutRatioNumber" advise="1">
        <values>
          <value t="str">
            <val>50.00%</val>
          </value>
        </values>
      </ddeItem>
      <ddeItem name="2250.TW-Name" advise="1">
        <values>
          <value t="str">
            <val>IKKA-KY</val>
          </value>
        </values>
      </ddeItem>
      <ddeItem name="2250.TW-PreTotalVolumeRate" advise="1">
        <values>
          <value>
            <val>0.47</val>
          </value>
        </values>
      </ddeItem>
      <ddeItem name="2250.TW-Price" advise="1">
        <values>
          <value>
            <val>100</val>
          </value>
        </values>
      </ddeItem>
      <ddeItem name="2250.TW-PriceChangeRatio" advise="1">
        <values>
          <value>
            <val>0.2</val>
          </value>
        </values>
      </ddeItem>
      <ddeItem name="2250.TW-Time" advise="1">
        <values>
          <value t="str">
            <val>10:11:53</val>
          </value>
        </values>
      </ddeItem>
      <ddeItem name="2250.TW-VolumeRatio" advise="1">
        <values>
          <value>
            <val>0.98</val>
          </value>
        </values>
      </ddeItem>
      <ddeItem name="2371.TW-5DayAvgVol" advise="1">
        <values>
          <value>
            <val>114168</val>
          </value>
        </values>
      </ddeItem>
      <ddeItem name="2371.TW-AvgPrice" advise="1">
        <values>
          <value>
            <val>35.72</val>
          </value>
        </values>
      </ddeItem>
      <ddeItem name="2371.TW-Capital" advise="1">
        <values>
          <value t="str">
            <val>233.95</val>
          </value>
        </values>
      </ddeItem>
      <ddeItem name="2371.TW-DLOrderValueDiffRatio" advise="1">
        <values>
          <value>
            <val>-1.43</val>
          </value>
        </values>
      </ddeItem>
      <ddeItem name="2371.TW-DXLOrderOutValueRatio" advise="1">
        <values>
          <value>
            <val>18.3</val>
          </value>
        </values>
      </ddeItem>
      <ddeItem name="2371.TW-DXLOrderValueDiffRatio" advise="1">
        <values>
          <value>
            <val>-11.48</val>
          </value>
        </values>
      </ddeItem>
      <ddeItem name="2371.TW-ExchangeIndustry" advise="1">
        <values>
          <value t="str">
            <val>上市電機機械</val>
          </value>
        </values>
      </ddeItem>
      <ddeItem name="2371.TW-ID" advise="1">
        <values>
          <value t="str">
            <val>2371</val>
          </value>
        </values>
      </ddeItem>
      <ddeItem name="2371.TW-InOutRatioNumber" advise="1">
        <values>
          <value t="str">
            <val>45.67%</val>
          </value>
        </values>
      </ddeItem>
      <ddeItem name="2371.TW-Name" advise="1">
        <values>
          <value t="str">
            <val>大同</val>
          </value>
        </values>
      </ddeItem>
      <ddeItem name="2371.TW-PreTotalVolumeRate" advise="1">
        <values>
          <value>
            <val>0.43</val>
          </value>
        </values>
      </ddeItem>
      <ddeItem name="2371.TW-Price" advise="1">
        <values>
          <value>
            <val>35.9</val>
          </value>
        </values>
      </ddeItem>
      <ddeItem name="2371.TW-PriceChangeRatio" advise="1">
        <values>
          <value>
            <val>0.28000000000000003</val>
          </value>
        </values>
      </ddeItem>
      <ddeItem name="2371.TW-Time" advise="1">
        <values>
          <value t="str">
            <val>10:15:18</val>
          </value>
        </values>
      </ddeItem>
      <ddeItem name="2371.TW-VolumeRatio" advise="1">
        <values>
          <value>
            <val>1.04</val>
          </value>
        </values>
      </ddeItem>
      <ddeItem name="2497.TW-5DayAvgVol" advise="1">
        <values>
          <value>
            <val>317</val>
          </value>
        </values>
      </ddeItem>
      <ddeItem name="2497.TW-AvgPrice" advise="1">
        <values>
          <value>
            <val>34.18</val>
          </value>
        </values>
      </ddeItem>
      <ddeItem name="2497.TW-Capital" advise="1">
        <values>
          <value t="str">
            <val>11.88</val>
          </value>
        </values>
      </ddeItem>
      <ddeItem name="2497.TW-DLOrderValueDiffRatio" advise="1">
        <values>
          <value>
            <val>0</val>
          </value>
        </values>
      </ddeItem>
      <ddeItem name="2497.TW-DXLOrderOutValueRatio" advise="1">
        <values>
          <value>
            <val>0</val>
          </value>
        </values>
      </ddeItem>
      <ddeItem name="2497.TW-DXLOrderValueDiffRatio" advise="1">
        <values>
          <value>
            <val>0</val>
          </value>
        </values>
      </ddeItem>
      <ddeItem name="2497.TW-ExchangeIndustry" advise="1">
        <values>
          <value t="str">
            <val>上市汽車</val>
          </value>
        </values>
      </ddeItem>
      <ddeItem name="2497.TW-ID" advise="1">
        <values>
          <value t="str">
            <val>2497</val>
          </value>
        </values>
      </ddeItem>
      <ddeItem name="2497.TW-InOutRatioNumber" advise="1">
        <values>
          <value t="str">
            <val>72.05%</val>
          </value>
        </values>
      </ddeItem>
      <ddeItem name="2497.TW-Name" advise="1">
        <values>
          <value t="str">
            <val>怡利電</val>
          </value>
        </values>
      </ddeItem>
      <ddeItem name="2497.TW-PreTotalVolumeRate" advise="1">
        <values>
          <value>
            <val>1.31</val>
          </value>
        </values>
      </ddeItem>
      <ddeItem name="2497.TW-Price" advise="1">
        <values>
          <value>
            <val>34.1</val>
          </value>
        </values>
      </ddeItem>
      <ddeItem name="2497.TW-PriceChangeRatio" advise="1">
        <values>
          <value>
            <val>2.71</val>
          </value>
        </values>
      </ddeItem>
      <ddeItem name="2497.TW-Time" advise="1">
        <values>
          <value t="str">
            <val>10:13:02</val>
          </value>
        </values>
      </ddeItem>
      <ddeItem name="2497.TW-VolumeRatio" advise="1">
        <values>
          <value>
            <val>2.77</val>
          </value>
        </values>
      </ddeItem>
      <ddeItem name="3004.TW-5DayAvgVol" advise="1">
        <values>
          <value>
            <val>37</val>
          </value>
        </values>
      </ddeItem>
      <ddeItem name="3004.TW-AvgPrice" advise="1">
        <values>
          <value>
            <val>58.15</val>
          </value>
        </values>
      </ddeItem>
      <ddeItem name="3004.TW-Capital" advise="1">
        <values>
          <value t="str">
            <val>5.26</val>
          </value>
        </values>
      </ddeItem>
      <ddeItem name="3004.TW-DLOrderValueDiffRatio" advise="1">
        <values>
          <value>
            <val>0</val>
          </value>
        </values>
      </ddeItem>
      <ddeItem name="3004.TW-DXLOrderOutValueRatio" advise="1">
        <values>
          <value>
            <val>0</val>
          </value>
        </values>
      </ddeItem>
      <ddeItem name="3004.TW-DXLOrderValueDiffRatio" advise="1">
        <values>
          <value>
            <val>0</val>
          </value>
        </values>
      </ddeItem>
      <ddeItem name="3004.TW-ExchangeIndustry" advise="1">
        <values>
          <value t="str">
            <val>上市鋼鐵</val>
          </value>
        </values>
      </ddeItem>
      <ddeItem name="3004.TW-ID" advise="1">
        <values>
          <value t="str">
            <val>3004</val>
          </value>
        </values>
      </ddeItem>
      <ddeItem name="3004.TW-InOutRatioNumber" advise="1">
        <values>
          <value t="str">
            <val>16.67%</val>
          </value>
        </values>
      </ddeItem>
      <ddeItem name="3004.TW-Name" advise="1">
        <values>
          <value t="str">
            <val>豐達科</val>
          </value>
        </values>
      </ddeItem>
      <ddeItem name="3004.TW-PreTotalVolumeRate" advise="1">
        <values>
          <value>
            <val>0.5</val>
          </value>
        </values>
      </ddeItem>
      <ddeItem name="3004.TW-Price" advise="1">
        <values>
          <value>
            <val>57.9</val>
          </value>
        </values>
      </ddeItem>
      <ddeItem name="3004.TW-PriceChangeRatio" advise="1">
        <values>
          <value>
            <val>-0.52</val>
          </value>
        </values>
      </ddeItem>
      <ddeItem name="3004.TW-Time" advise="1">
        <values>
          <value t="str">
            <val>09:44:37</val>
          </value>
        </values>
      </ddeItem>
      <ddeItem name="3004.TW-VolumeRatio" advise="1">
        <values>
          <value>
            <val>1.5</val>
          </value>
        </values>
      </ddeItem>
      <ddeItem name="3164.TW-5DayAvgVol" advise="1">
        <values>
          <value>
            <val>31</val>
          </value>
        </values>
      </ddeItem>
      <ddeItem name="3164.TW-AvgPrice" advise="1">
        <values>
          <value>
            <val>23.5</val>
          </value>
        </values>
      </ddeItem>
      <ddeItem name="3164.TW-Capital" advise="1">
        <values>
          <value t="str">
            <val>8.64</val>
          </value>
        </values>
      </ddeItem>
      <ddeItem name="3164.TW-DLOrderValueDiffRatio" advise="1">
        <values>
          <value>
            <val>0</val>
          </value>
        </values>
      </ddeItem>
      <ddeItem name="3164.TW-DXLOrderOutValueRatio" advise="1">
        <values>
          <value>
            <val>0</val>
          </value>
        </values>
      </ddeItem>
      <ddeItem name="3164.TW-DXLOrderValueDiffRatio" advise="1">
        <values>
          <value>
            <val>0</val>
          </value>
        </values>
      </ddeItem>
      <ddeItem name="3164.TW-ExchangeIndustry" advise="1">
        <values>
          <value t="str">
            <val>上市化學生技醫療,上市生技醫療</val>
          </value>
        </values>
      </ddeItem>
      <ddeItem name="3164.TW-ID" advise="1">
        <values>
          <value t="str">
            <val>3164</val>
          </value>
        </values>
      </ddeItem>
      <ddeItem name="3164.TW-InOutRatioNumber" advise="1">
        <values>
          <value t="str">
            <val>0.00%</val>
          </value>
        </values>
      </ddeItem>
      <ddeItem name="3164.TW-Name" advise="1">
        <values>
          <value t="str">
            <val>景岳</val>
          </value>
        </values>
      </ddeItem>
      <ddeItem name="3164.TW-PreTotalVolumeRate" advise="1">
        <values>
          <value>
            <val>0.02</val>
          </value>
        </values>
      </ddeItem>
      <ddeItem name="3164.TW-Price" advise="1">
        <values>
          <value>
            <val>23.5</val>
          </value>
        </values>
      </ddeItem>
      <ddeItem name="3164.TW-PriceChangeRatio" advise="1">
        <values>
          <value>
            <val>-0.21</val>
          </value>
        </values>
      </ddeItem>
      <ddeItem name="3164.TW-Time" advise="1">
        <values>
          <value t="str">
            <val>09:07:08</val>
          </value>
        </values>
      </ddeItem>
      <ddeItem name="3164.TW-VolumeRatio" advise="1">
        <values>
          <value>
            <val>0</val>
          </value>
        </values>
      </ddeItem>
      <ddeItem name="3167.TW-5DayAvgVol" advise="1">
        <values>
          <value>
            <val>265</val>
          </value>
        </values>
      </ddeItem>
      <ddeItem name="3167.TW-AvgPrice" advise="1">
        <values>
          <value>
            <val>72.66</val>
          </value>
        </values>
      </ddeItem>
      <ddeItem name="3167.TW-Capital" advise="1">
        <values>
          <value t="str">
            <val>8.01</val>
          </value>
        </values>
      </ddeItem>
      <ddeItem name="3167.TW-DLOrderValueDiffRatio" advise="1">
        <values>
          <value>
            <val>0</val>
          </value>
        </values>
      </ddeItem>
      <ddeItem name="3167.TW-DXLOrderOutValueRatio" advise="1">
        <values>
          <value>
            <val>0</val>
          </value>
        </values>
      </ddeItem>
      <ddeItem name="3167.TW-DXLOrderValueDiffRatio" advise="1">
        <values>
          <value>
            <val>0</val>
          </value>
        </values>
      </ddeItem>
      <ddeItem name="3167.TW-ExchangeIndustry" advise="1">
        <values>
          <value t="str">
            <val>上市電機機械</val>
          </value>
        </values>
      </ddeItem>
      <ddeItem name="3167.TW-ID" advise="1">
        <values>
          <value t="str">
            <val>3167</val>
          </value>
        </values>
      </ddeItem>
      <ddeItem name="3167.TW-InOutRatioNumber" advise="1">
        <values>
          <value t="str">
            <val>16.44%</val>
          </value>
        </values>
      </ddeItem>
      <ddeItem name="3167.TW-Name" advise="1">
        <values>
          <value t="str">
            <val>大量</val>
          </value>
        </values>
      </ddeItem>
      <ddeItem name="3167.TW-PreTotalVolumeRate" advise="1">
        <values>
          <value>
            <val>0.13</val>
          </value>
        </values>
      </ddeItem>
      <ddeItem name="3167.TW-Price" advise="1">
        <values>
          <value>
            <val>72.5</val>
          </value>
        </values>
      </ddeItem>
      <ddeItem name="3167.TW-PriceChangeRatio" advise="1">
        <values>
          <value>
            <val>-0.14000000000000001</val>
          </value>
        </values>
      </ddeItem>
      <ddeItem name="3167.TW-Time" advise="1">
        <values>
          <value t="str">
            <val>10:10:43</val>
          </value>
        </values>
      </ddeItem>
      <ddeItem name="3167.TW-VolumeRatio" advise="1">
        <values>
          <value>
            <val>0.35</val>
          </value>
        </values>
      </ddeItem>
      <ddeItem name="3346.TW-5DayAvgVol" advise="1">
        <values>
          <value>
            <val>243</val>
          </value>
        </values>
      </ddeItem>
      <ddeItem name="3346.TW-AvgPrice" advise="1">
        <values>
          <value>
            <val>36.950000000000003</val>
          </value>
        </values>
      </ddeItem>
      <ddeItem name="3346.TW-Capital" advise="1">
        <values>
          <value t="str">
            <val>9.65</val>
          </value>
        </values>
      </ddeItem>
      <ddeItem name="3346.TW-DLOrderValueDiffRatio" advise="1">
        <values>
          <value>
            <val>0</val>
          </value>
        </values>
      </ddeItem>
      <ddeItem name="3346.TW-DXLOrderOutValueRatio" advise="1">
        <values>
          <value>
            <val>0</val>
          </value>
        </values>
      </ddeItem>
      <ddeItem name="3346.TW-DXLOrderValueDiffRatio" advise="1">
        <values>
          <value>
            <val>0</val>
          </value>
        </values>
      </ddeItem>
      <ddeItem name="3346.TW-ExchangeIndustry" advise="1">
        <values>
          <value t="str">
            <val>上市汽車</val>
          </value>
        </values>
      </ddeItem>
      <ddeItem name="3346.TW-ID" advise="1">
        <values>
          <value t="str">
            <val>3346</val>
          </value>
        </values>
      </ddeItem>
      <ddeItem name="3346.TW-InOutRatioNumber" advise="1">
        <values>
          <value t="str">
            <val>43.06%</val>
          </value>
        </values>
      </ddeItem>
      <ddeItem name="3346.TW-Name" advise="1">
        <values>
          <value t="str">
            <val>麗清</val>
          </value>
        </values>
      </ddeItem>
      <ddeItem name="3346.TW-PreTotalVolumeRate" advise="1">
        <values>
          <value>
            <val>0.42</val>
          </value>
        </values>
      </ddeItem>
      <ddeItem name="3346.TW-Price" advise="1">
        <values>
          <value>
            <val>37</val>
          </value>
        </values>
      </ddeItem>
      <ddeItem name="3346.TW-PriceChangeRatio" advise="1">
        <values>
          <value>
            <val>0.82</val>
          </value>
        </values>
      </ddeItem>
      <ddeItem name="3346.TW-Time" advise="1">
        <values>
          <value t="str">
            <val>10:01:32</val>
          </value>
        </values>
      </ddeItem>
      <ddeItem name="3346.TW-VolumeRatio" advise="1">
        <values>
          <value>
            <val>1.02</val>
          </value>
        </values>
      </ddeItem>
      <ddeItem name="3705.TW-5DayAvgVol" advise="1">
        <values>
          <value>
            <val>134</val>
          </value>
        </values>
      </ddeItem>
      <ddeItem name="3705.TW-AvgPrice" advise="1">
        <values>
          <value>
            <val>43.27</val>
          </value>
        </values>
      </ddeItem>
      <ddeItem name="3705.TW-Capital" advise="1">
        <values>
          <value t="str">
            <val>26.64</val>
          </value>
        </values>
      </ddeItem>
      <ddeItem name="3705.TW-DLOrderValueDiffRatio" advise="1">
        <values>
          <value>
            <val>0</val>
          </value>
        </values>
      </ddeItem>
      <ddeItem name="3705.TW-DXLOrderOutValueRatio" advise="1">
        <values>
          <value>
            <val>41.46</val>
          </value>
        </values>
      </ddeItem>
      <ddeItem name="3705.TW-DXLOrderValueDiffRatio" advise="1">
        <values>
          <value>
            <val>41.46</val>
          </value>
        </values>
      </ddeItem>
      <ddeItem name="3705.TW-ExchangeIndustry" advise="1">
        <values>
          <value t="str">
            <val>上市化學生技醫療,上市生技醫療</val>
          </value>
        </values>
      </ddeItem>
      <ddeItem name="3705.TW-ID" advise="1">
        <values>
          <value t="str">
            <val>3705</val>
          </value>
        </values>
      </ddeItem>
      <ddeItem name="3705.TW-InOutRatioNumber" advise="1">
        <values>
          <value t="str">
            <val>60.00%</val>
          </value>
        </values>
      </ddeItem>
      <ddeItem name="3705.TW-Name" advise="1">
        <values>
          <value t="str">
            <val>永信</val>
          </value>
        </values>
      </ddeItem>
      <ddeItem name="3705.TW-PreTotalVolumeRate" advise="1">
        <values>
          <value>
            <val>0.53</val>
          </value>
        </values>
      </ddeItem>
      <ddeItem name="3705.TW-Price" advise="1">
        <values>
          <value>
            <val>43.35</val>
          </value>
        </values>
      </ddeItem>
      <ddeItem name="3705.TW-PriceChangeRatio" advise="1">
        <values>
          <value>
            <val>0.23</val>
          </value>
        </values>
      </ddeItem>
      <ddeItem name="3705.TW-Time" advise="1">
        <values>
          <value t="str">
            <val>10:15:08</val>
          </value>
        </values>
      </ddeItem>
      <ddeItem name="3705.TW-VolumeRatio" advise="1">
        <values>
          <value>
            <val>1.99</val>
          </value>
        </values>
      </ddeItem>
      <ddeItem name="3708.TW-5DayAvgVol" advise="1">
        <values>
          <value>
            <val>8495</val>
          </value>
        </values>
      </ddeItem>
      <ddeItem name="3708.TW-AvgPrice" advise="1">
        <values>
          <value>
            <val>106.6</val>
          </value>
        </values>
      </ddeItem>
      <ddeItem name="3708.TW-Capital" advise="1">
        <values>
          <value t="str">
            <val>9.35</val>
          </value>
        </values>
      </ddeItem>
      <ddeItem name="3708.TW-DLOrderValueDiffRatio" advise="1">
        <values>
          <value>
            <val>-2.0099999999999998</val>
          </value>
        </values>
      </ddeItem>
      <ddeItem name="3708.TW-DXLOrderOutValueRatio" advise="1">
        <values>
          <value>
            <val>7.87</val>
          </value>
        </values>
      </ddeItem>
      <ddeItem name="3708.TW-DXLOrderValueDiffRatio" advise="1">
        <values>
          <value>
            <val>-7.15</val>
          </value>
        </values>
      </ddeItem>
      <ddeItem name="3708.TW-ExchangeIndustry" advise="1">
        <values>
          <value t="str">
            <val>上市化學生技醫療,上市化工</val>
          </value>
        </values>
      </ddeItem>
      <ddeItem name="3708.TW-ID" advise="1">
        <values>
          <value t="str">
            <val>3708</val>
          </value>
        </values>
      </ddeItem>
      <ddeItem name="3708.TW-InOutRatioNumber" advise="1">
        <values>
          <value t="str">
            <val>45.97%</val>
          </value>
        </values>
      </ddeItem>
      <ddeItem name="3708.TW-Name" advise="1">
        <values>
          <value t="str">
            <val>上緯投控</val>
          </value>
        </values>
      </ddeItem>
      <ddeItem name="3708.TW-PreTotalVolumeRate" advise="1">
        <values>
          <value>
            <val>0.25</val>
          </value>
        </values>
      </ddeItem>
      <ddeItem name="3708.TW-Price" advise="1">
        <values>
          <value>
            <val>105.5</val>
          </value>
        </values>
      </ddeItem>
      <ddeItem name="3708.TW-PriceChangeRatio" advise="1">
        <values>
          <value>
            <val>0</val>
          </value>
        </values>
      </ddeItem>
      <ddeItem name="3708.TW-Time" advise="1">
        <values>
          <value t="str">
            <val>10:15:15</val>
          </value>
        </values>
      </ddeItem>
      <ddeItem name="3708.TW-VolumeRatio" advise="1">
        <values>
          <value>
            <val>0.47</val>
          </value>
        </values>
      </ddeItem>
      <ddeItem name="4104.TW-5DayAvgVol" advise="1">
        <values>
          <value>
            <val>98</val>
          </value>
        </values>
      </ddeItem>
      <ddeItem name="4104.TW-AvgPrice" advise="1">
        <values>
          <value>
            <val>54.9</val>
          </value>
        </values>
      </ddeItem>
      <ddeItem name="4104.TW-Capital" advise="1">
        <values>
          <value t="str">
            <val>14.11</val>
          </value>
        </values>
      </ddeItem>
      <ddeItem name="4104.TW-DLOrderValueDiffRatio" advise="1">
        <values>
          <value>
            <val>0</val>
          </value>
        </values>
      </ddeItem>
      <ddeItem name="4104.TW-DXLOrderOutValueRatio" advise="1">
        <values>
          <value>
            <val>0</val>
          </value>
        </values>
      </ddeItem>
      <ddeItem name="4104.TW-DXLOrderValueDiffRatio" advise="1">
        <values>
          <value>
            <val>0</val>
          </value>
        </values>
      </ddeItem>
      <ddeItem name="4104.TW-ExchangeIndustry" advise="1">
        <values>
          <value t="str">
            <val>上市化學生技醫療,上市生技醫療</val>
          </value>
        </values>
      </ddeItem>
      <ddeItem name="4104.TW-ID" advise="1">
        <values>
          <value t="str">
            <val>4104</val>
          </value>
        </values>
      </ddeItem>
      <ddeItem name="4104.TW-InOutRatioNumber" advise="1">
        <values>
          <value t="str">
            <val>54.55%</val>
          </value>
        </values>
      </ddeItem>
      <ddeItem name="4104.TW-Name" advise="1">
        <values>
          <value t="str">
            <val>佳醫</val>
          </value>
        </values>
      </ddeItem>
      <ddeItem name="4104.TW-PreTotalVolumeRate" advise="1">
        <values>
          <value>
            <val>0.36</val>
          </value>
        </values>
      </ddeItem>
      <ddeItem name="4104.TW-Price" advise="1">
        <values>
          <value>
            <val>54.9</val>
          </value>
        </values>
      </ddeItem>
      <ddeItem name="4104.TW-PriceChangeRatio" advise="1">
        <values>
          <value>
            <val>-0.18</val>
          </value>
        </values>
      </ddeItem>
      <ddeItem name="4104.TW-Time" advise="1">
        <values>
          <value t="str">
            <val>10:04:40</val>
          </value>
        </values>
      </ddeItem>
      <ddeItem name="4104.TW-VolumeRatio" advise="1">
        <values>
          <value>
            <val>1.34</val>
          </value>
        </values>
      </ddeItem>
      <ddeItem name="4106.TW-5DayAvgVol" advise="1">
        <values>
          <value>
            <val>282</val>
          </value>
        </values>
      </ddeItem>
      <ddeItem name="4106.TW-AvgPrice" advise="1">
        <values>
          <value>
            <val>26.43</val>
          </value>
        </values>
      </ddeItem>
      <ddeItem name="4106.TW-Capital" advise="1">
        <values>
          <value t="str">
            <val>10.09</val>
          </value>
        </values>
      </ddeItem>
      <ddeItem name="4106.TW-DLOrderValueDiffRatio" advise="1">
        <values>
          <value>
            <val>0</val>
          </value>
        </values>
      </ddeItem>
      <ddeItem name="4106.TW-DXLOrderOutValueRatio" advise="1">
        <values>
          <value>
            <val>0</val>
          </value>
        </values>
      </ddeItem>
      <ddeItem name="4106.TW-DXLOrderValueDiffRatio" advise="1">
        <values>
          <value>
            <val>0</val>
          </value>
        </values>
      </ddeItem>
      <ddeItem name="4106.TW-ExchangeIndustry" advise="1">
        <values>
          <value t="str">
            <val>上市化學生技醫療,上市生技醫療</val>
          </value>
        </values>
      </ddeItem>
      <ddeItem name="4106.TW-ID" advise="1">
        <values>
          <value t="str">
            <val>4106</val>
          </value>
        </values>
      </ddeItem>
      <ddeItem name="4106.TW-InOutRatioNumber" advise="1">
        <values>
          <value t="str">
            <val>22.22%</val>
          </value>
        </values>
      </ddeItem>
      <ddeItem name="4106.TW-Name" advise="1">
        <values>
          <value t="str">
            <val>雃博</val>
          </value>
        </values>
      </ddeItem>
      <ddeItem name="4106.TW-PreTotalVolumeRate" advise="1">
        <values>
          <value>
            <val>0.26</val>
          </value>
        </values>
      </ddeItem>
      <ddeItem name="4106.TW-Price" advise="1">
        <values>
          <value>
            <val>26.3</val>
          </value>
        </values>
      </ddeItem>
      <ddeItem name="4106.TW-PriceChangeRatio" advise="1">
        <values>
          <value>
            <val>-1.1299999999999999</val>
          </value>
        </values>
      </ddeItem>
      <ddeItem name="4106.TW-Time" advise="1">
        <values>
          <value t="str">
            <val>10:13:45</val>
          </value>
        </values>
      </ddeItem>
      <ddeItem name="4106.TW-VolumeRatio" advise="1">
        <values>
          <value>
            <val>0.56000000000000005</val>
          </value>
        </values>
      </ddeItem>
      <ddeItem name="4108.TW-5DayAvgVol" advise="1">
        <values>
          <value>
            <val>252</val>
          </value>
        </values>
      </ddeItem>
      <ddeItem name="4108.TW-AvgPrice" advise="1">
        <values>
          <value>
            <val>21.7</val>
          </value>
        </values>
      </ddeItem>
      <ddeItem name="4108.TW-Capital" advise="1">
        <values>
          <value t="str">
            <val>19.86</val>
          </value>
        </values>
      </ddeItem>
      <ddeItem name="4108.TW-DLOrderValueDiffRatio" advise="1">
        <values>
          <value>
            <val>0</val>
          </value>
        </values>
      </ddeItem>
      <ddeItem name="4108.TW-DXLOrderOutValueRatio" advise="1">
        <values>
          <value>
            <val>0</val>
          </value>
        </values>
      </ddeItem>
      <ddeItem name="4108.TW-DXLOrderValueDiffRatio" advise="1">
        <values>
          <value>
            <val>0</val>
          </value>
        </values>
      </ddeItem>
      <ddeItem name="4108.TW-ExchangeIndustry" advise="1">
        <values>
          <value t="str">
            <val>上市化學生技醫療,上市生技醫療</val>
          </value>
        </values>
      </ddeItem>
      <ddeItem name="4108.TW-ID" advise="1">
        <values>
          <value t="str">
            <val>4108</val>
          </value>
        </values>
      </ddeItem>
      <ddeItem name="4108.TW-InOutRatioNumber" advise="1">
        <values>
          <value t="str">
            <val>12.00%</val>
          </value>
        </values>
      </ddeItem>
      <ddeItem name="4108.TW-Name" advise="1">
        <values>
          <value t="str">
            <val>懷特</val>
          </value>
        </values>
      </ddeItem>
      <ddeItem name="4108.TW-PreTotalVolumeRate" advise="1">
        <values>
          <value>
            <val>0.16</val>
          </value>
        </values>
      </ddeItem>
      <ddeItem name="4108.TW-Price" advise="1">
        <values>
          <value>
            <val>21.65</val>
          </value>
        </values>
      </ddeItem>
      <ddeItem name="4108.TW-PriceChangeRatio" advise="1">
        <values>
          <value>
            <val>-0.23</val>
          </value>
        </values>
      </ddeItem>
      <ddeItem name="4108.TW-Time" advise="1">
        <values>
          <value t="str">
            <val>09:54:08</val>
          </value>
        </values>
      </ddeItem>
      <ddeItem name="4108.TW-VolumeRatio" advise="1">
        <values>
          <value>
            <val>0.56000000000000005</val>
          </value>
        </values>
      </ddeItem>
      <ddeItem name="4119.TW-5DayAvgVol" advise="1">
        <values>
          <value>
            <val>274</val>
          </value>
        </values>
      </ddeItem>
      <ddeItem name="4119.TW-AvgPrice" advise="1">
        <values>
          <value>
            <val>77.97</val>
          </value>
        </values>
      </ddeItem>
      <ddeItem name="4119.TW-Capital" advise="1">
        <values>
          <value t="str">
            <val>9.54</val>
          </value>
        </values>
      </ddeItem>
      <ddeItem name="4119.TW-DLOrderValueDiffRatio" advise="1">
        <values>
          <value>
            <val>0</val>
          </value>
        </values>
      </ddeItem>
      <ddeItem name="4119.TW-DXLOrderOutValueRatio" advise="1">
        <values>
          <value>
            <val>0</val>
          </value>
        </values>
      </ddeItem>
      <ddeItem name="4119.TW-DXLOrderValueDiffRatio" advise="1">
        <values>
          <value>
            <val>0</val>
          </value>
        </values>
      </ddeItem>
      <ddeItem name="4119.TW-ExchangeIndustry" advise="1">
        <values>
          <value t="str">
            <val>上市化學生技醫療,上市生技醫療</val>
          </value>
        </values>
      </ddeItem>
      <ddeItem name="4119.TW-ID" advise="1">
        <values>
          <value t="str">
            <val>4119</val>
          </value>
        </values>
      </ddeItem>
      <ddeItem name="4119.TW-InOutRatioNumber" advise="1">
        <values>
          <value t="str">
            <val>38.24%</val>
          </value>
        </values>
      </ddeItem>
      <ddeItem name="4119.TW-Name" advise="1">
        <values>
          <value t="str">
            <val>旭富</val>
          </value>
        </values>
      </ddeItem>
      <ddeItem name="4119.TW-PreTotalVolumeRate" advise="1">
        <values>
          <value>
            <val>0.2</val>
          </value>
        </values>
      </ddeItem>
      <ddeItem name="4119.TW-Price" advise="1">
        <values>
          <value>
            <val>78</val>
          </value>
        </values>
      </ddeItem>
      <ddeItem name="4119.TW-PriceChangeRatio" advise="1">
        <values>
          <value>
            <val>0.26</val>
          </value>
        </values>
      </ddeItem>
      <ddeItem name="4119.TW-Time" advise="1">
        <values>
          <value t="str">
            <val>10:08:52</val>
          </value>
        </values>
      </ddeItem>
      <ddeItem name="4119.TW-VolumeRatio" advise="1">
        <values>
          <value>
            <val>0.69</val>
          </value>
        </values>
      </ddeItem>
      <ddeItem name="4133.TW-5DayAvgVol" advise="1">
        <values>
          <value>
            <val>639</val>
          </value>
        </values>
      </ddeItem>
      <ddeItem name="4133.TW-AvgPrice" advise="1">
        <values>
          <value>
            <val>36.549999999999997</val>
          </value>
        </values>
      </ddeItem>
      <ddeItem name="4133.TW-Capital" advise="1">
        <values>
          <value t="str">
            <val>6.06</val>
          </value>
        </values>
      </ddeItem>
      <ddeItem name="4133.TW-DLOrderValueDiffRatio" advise="1">
        <values>
          <value>
            <val>-15.8</val>
          </value>
        </values>
      </ddeItem>
      <ddeItem name="4133.TW-DXLOrderOutValueRatio" advise="1">
        <values>
          <value>
            <val>0</val>
          </value>
        </values>
      </ddeItem>
      <ddeItem name="4133.TW-DXLOrderValueDiffRatio" advise="1">
        <values>
          <value>
            <val>0</val>
          </value>
        </values>
      </ddeItem>
      <ddeItem name="4133.TW-ExchangeIndustry" advise="1">
        <values>
          <value t="str">
            <val>上市化學生技醫療,上市生技醫療</val>
          </value>
        </values>
      </ddeItem>
      <ddeItem name="4133.TW-ID" advise="1">
        <values>
          <value t="str">
            <val>4133</val>
          </value>
        </values>
      </ddeItem>
      <ddeItem name="4133.TW-InOutRatioNumber" advise="1">
        <values>
          <value t="str">
            <val>21.05%</val>
          </value>
        </values>
      </ddeItem>
      <ddeItem name="4133.TW-Name" advise="1">
        <values>
          <value t="str">
            <val>亞諾法</val>
          </value>
        </values>
      </ddeItem>
      <ddeItem name="4133.TW-PreTotalVolumeRate" advise="1">
        <values>
          <value>
            <val>0.35</val>
          </value>
        </values>
      </ddeItem>
      <ddeItem name="4133.TW-Price" advise="1">
        <values>
          <value>
            <val>36.4</val>
          </value>
        </values>
      </ddeItem>
      <ddeItem name="4133.TW-PriceChangeRatio" advise="1">
        <values>
          <value>
            <val>-2.15</val>
          </value>
        </values>
      </ddeItem>
      <ddeItem name="4133.TW-Time" advise="1">
        <values>
          <value t="str">
            <val>10:14:44</val>
          </value>
        </values>
      </ddeItem>
      <ddeItem name="4133.TW-VolumeRatio" advise="1">
        <values>
          <value>
            <val>0.81</val>
          </value>
        </values>
      </ddeItem>
      <ddeItem name="4137.TW-5DayAvgVol" advise="1">
        <values>
          <value>
            <val>495</val>
          </value>
        </values>
      </ddeItem>
      <ddeItem name="4137.TW-AvgPrice" advise="1">
        <values>
          <value>
            <val>227.52</val>
          </value>
        </values>
      </ddeItem>
      <ddeItem name="4137.TW-Capital" advise="1">
        <values>
          <value t="str">
            <val>7.95</val>
          </value>
        </values>
      </ddeItem>
      <ddeItem name="4137.TW-DLOrderValueDiffRatio" advise="1">
        <values>
          <value>
            <val>10.83</val>
          </value>
        </values>
      </ddeItem>
      <ddeItem name="4137.TW-DXLOrderOutValueRatio" advise="1">
        <values>
          <value>
            <val>0</val>
          </value>
        </values>
      </ddeItem>
      <ddeItem name="4137.TW-DXLOrderValueDiffRatio" advise="1">
        <values>
          <value>
            <val>0</val>
          </value>
        </values>
      </ddeItem>
      <ddeItem name="4137.TW-ExchangeIndustry" advise="1">
        <values>
          <value t="str">
            <val>上市化學生技醫療,上市生技醫療</val>
          </value>
        </values>
      </ddeItem>
      <ddeItem name="4137.TW-ID" advise="1">
        <values>
          <value t="str">
            <val>4137</val>
          </value>
        </values>
      </ddeItem>
      <ddeItem name="4137.TW-InOutRatioNumber" advise="1">
        <values>
          <value t="str">
            <val>68.13%</val>
          </value>
        </values>
      </ddeItem>
      <ddeItem name="4137.TW-Name" advise="1">
        <values>
          <value t="str">
            <val>麗豐-KY</val>
          </value>
        </values>
      </ddeItem>
      <ddeItem name="4137.TW-PreTotalVolumeRate" advise="1">
        <values>
          <value>
            <val>0.55000000000000004</val>
          </value>
        </values>
      </ddeItem>
      <ddeItem name="4137.TW-Price" advise="1">
        <values>
          <value>
            <val>229</val>
          </value>
        </values>
      </ddeItem>
      <ddeItem name="4137.TW-PriceChangeRatio" advise="1">
        <values>
          <value>
            <val>1.55</val>
          </value>
        </values>
      </ddeItem>
      <ddeItem name="4137.TW-Time" advise="1">
        <values>
          <value t="str">
            <val>10:13:49</val>
          </value>
        </values>
      </ddeItem>
      <ddeItem name="4137.TW-VolumeRatio" advise="1">
        <values>
          <value>
            <val>0.85</val>
          </value>
        </values>
      </ddeItem>
      <ddeItem name="4141.TW-5DayAvgVol" advise="1">
        <values>
          <value>
            <val>3806</val>
          </value>
        </values>
      </ddeItem>
      <ddeItem name="4141.TW-AvgPrice" advise="1">
        <values>
          <value>
            <val>27.66</val>
          </value>
        </values>
      </ddeItem>
      <ddeItem name="4141.TW-Capital" advise="1">
        <values>
          <value t="str">
            <val>17.68</val>
          </value>
        </values>
      </ddeItem>
      <ddeItem name="4141.TW-DLOrderValueDiffRatio" advise="1">
        <values>
          <value>
            <val>0</val>
          </value>
        </values>
      </ddeItem>
      <ddeItem name="4141.TW-DXLOrderOutValueRatio" advise="1">
        <values>
          <value>
            <val>0</val>
          </value>
        </values>
      </ddeItem>
      <ddeItem name="4141.TW-DXLOrderValueDiffRatio" advise="1">
        <values>
          <value>
            <val>0</val>
          </value>
        </values>
      </ddeItem>
      <ddeItem name="4141.TW-ExchangeIndustry" advise="1">
        <values>
          <value t="str">
            <val>上市化學生技醫療,上市生技醫療</val>
          </value>
        </values>
      </ddeItem>
      <ddeItem name="4141.TW-ID" advise="1">
        <values>
          <value t="str">
            <val>4141</val>
          </value>
        </values>
      </ddeItem>
      <ddeItem name="4141.TW-InOutRatioNumber" advise="1">
        <values>
          <value t="str">
            <val>44.49%</val>
          </value>
        </values>
      </ddeItem>
      <ddeItem name="4141.TW-Name" advise="1">
        <values>
          <value t="str">
            <val>龍燈-KY</val>
          </value>
        </values>
      </ddeItem>
      <ddeItem name="4141.TW-PreTotalVolumeRate" advise="1">
        <values>
          <value>
            <val>0.61</val>
          </value>
        </values>
      </ddeItem>
      <ddeItem name="4141.TW-Price" advise="1">
        <values>
          <value>
            <val>28.1</val>
          </value>
        </values>
      </ddeItem>
      <ddeItem name="4141.TW-PriceChangeRatio" advise="1">
        <values>
          <value>
            <val>-5.39</val>
          </value>
        </values>
      </ddeItem>
      <ddeItem name="4141.TW-Time" advise="1">
        <values>
          <value t="str">
            <val>10:15:10</val>
          </value>
        </values>
      </ddeItem>
      <ddeItem name="4141.TW-VolumeRatio" advise="1">
        <values>
          <value>
            <val>1.18</val>
          </value>
        </values>
      </ddeItem>
      <ddeItem name="4142.TW-5DayAvgVol" advise="1">
        <values>
          <value>
            <val>3370</val>
          </value>
        </values>
      </ddeItem>
      <ddeItem name="4142.TW-AvgPrice" advise="1">
        <values>
          <value>
            <val>43.86</val>
          </value>
        </values>
      </ddeItem>
      <ddeItem name="4142.TW-Capital" advise="1">
        <values>
          <value t="str">
            <val>42.95</val>
          </value>
        </values>
      </ddeItem>
      <ddeItem name="4142.TW-DLOrderValueDiffRatio" advise="1">
        <values>
          <value>
            <val>2.4700000000000002</val>
          </value>
        </values>
      </ddeItem>
      <ddeItem name="4142.TW-DXLOrderOutValueRatio" advise="1">
        <values>
          <value>
            <val>3.77</val>
          </value>
        </values>
      </ddeItem>
      <ddeItem name="4142.TW-DXLOrderValueDiffRatio" advise="1">
        <values>
          <value>
            <val>3.77</val>
          </value>
        </values>
      </ddeItem>
      <ddeItem name="4142.TW-ExchangeIndustry" advise="1">
        <values>
          <value t="str">
            <val>上市化學生技醫療,上市生技醫療</val>
          </value>
        </values>
      </ddeItem>
      <ddeItem name="4142.TW-ID" advise="1">
        <values>
          <value t="str">
            <val>4142</val>
          </value>
        </values>
      </ddeItem>
      <ddeItem name="4142.TW-InOutRatioNumber" advise="1">
        <values>
          <value t="str">
            <val>41.30%</val>
          </value>
        </values>
      </ddeItem>
      <ddeItem name="4142.TW-Name" advise="1">
        <values>
          <value t="str">
            <val>國光生</val>
          </value>
        </values>
      </ddeItem>
      <ddeItem name="4142.TW-PreTotalVolumeRate" advise="1">
        <values>
          <value>
            <val>0.41</val>
          </value>
        </values>
      </ddeItem>
      <ddeItem name="4142.TW-Price" advise="1">
        <values>
          <value>
            <val>43.9</val>
          </value>
        </values>
      </ddeItem>
      <ddeItem name="4142.TW-PriceChangeRatio" advise="1">
        <values>
          <value>
            <val>-0.11</val>
          </value>
        </values>
      </ddeItem>
      <ddeItem name="4142.TW-Time" advise="1">
        <values>
          <value t="str">
            <val>10:14:53</val>
          </value>
        </values>
      </ddeItem>
      <ddeItem name="4142.TW-VolumeRatio" advise="1">
        <values>
          <value>
            <val>0.98</val>
          </value>
        </values>
      </ddeItem>
      <ddeItem name="4148.TW-5DayAvgVol" advise="1">
        <values>
          <value>
            <val>55</val>
          </value>
        </values>
      </ddeItem>
      <ddeItem name="4148.TW-AvgPrice" advise="1">
        <values>
          <value>
            <val>37.78</val>
          </value>
        </values>
      </ddeItem>
      <ddeItem name="4148.TW-Capital" advise="1">
        <values>
          <value t="str">
            <val>6.40</val>
          </value>
        </values>
      </ddeItem>
      <ddeItem name="4148.TW-DLOrderValueDiffRatio" advise="1">
        <values>
          <value>
            <val>0</val>
          </value>
        </values>
      </ddeItem>
      <ddeItem name="4148.TW-DXLOrderOutValueRatio" advise="1">
        <values>
          <value>
            <val>0</val>
          </value>
        </values>
      </ddeItem>
      <ddeItem name="4148.TW-DXLOrderValueDiffRatio" advise="1">
        <values>
          <value>
            <val>0</val>
          </value>
        </values>
      </ddeItem>
      <ddeItem name="4148.TW-ExchangeIndustry" advise="1">
        <values>
          <value t="str">
            <val>上市化學生技醫療,上市生技醫療</val>
          </value>
        </values>
      </ddeItem>
      <ddeItem name="4148.TW-ID" advise="1">
        <values>
          <value t="str">
            <val>4148</val>
          </value>
        </values>
      </ddeItem>
      <ddeItem name="4148.TW-InOutRatioNumber" advise="1">
        <values>
          <value t="str">
            <val>100.00%</val>
          </value>
        </values>
      </ddeItem>
      <ddeItem name="4148.TW-Name" advise="1">
        <values>
          <value t="str">
            <val>全宇生技-KY</val>
          </value>
        </values>
      </ddeItem>
      <ddeItem name="4148.TW-PreTotalVolumeRate" advise="1">
        <values>
          <value>
            <val>0.2</val>
          </value>
        </values>
      </ddeItem>
      <ddeItem name="4148.TW-Price" advise="1">
        <values>
          <value>
            <val>38</val>
          </value>
        </values>
      </ddeItem>
      <ddeItem name="4148.TW-PriceChangeRatio" advise="1">
        <values>
          <value>
            <val>0.53</val>
          </value>
        </values>
      </ddeItem>
      <ddeItem name="4148.TW-Time" advise="1">
        <values>
          <value t="str">
            <val>10:08:28</val>
          </value>
        </values>
      </ddeItem>
      <ddeItem name="4148.TW-VolumeRatio" advise="1">
        <values>
          <value>
            <val>0.39</val>
          </value>
        </values>
      </ddeItem>
      <ddeItem name="4155.TW-5DayAvgVol" advise="1">
        <values>
          <value>
            <val>124</val>
          </value>
        </values>
      </ddeItem>
      <ddeItem name="4155.TW-AvgPrice" advise="1">
        <values>
          <value>
            <val>22.99</val>
          </value>
        </values>
      </ddeItem>
      <ddeItem name="4155.TW-Capital" advise="1">
        <values>
          <value t="str">
            <val>9.49</val>
          </value>
        </values>
      </ddeItem>
      <ddeItem name="4155.TW-DLOrderValueDiffRatio" advise="1">
        <values>
          <value>
            <val>0</val>
          </value>
        </values>
      </ddeItem>
      <ddeItem name="4155.TW-DXLOrderOutValueRatio" advise="1">
        <values>
          <value>
            <val>0</val>
          </value>
        </values>
      </ddeItem>
      <ddeItem name="4155.TW-DXLOrderValueDiffRatio" advise="1">
        <values>
          <value>
            <val>0</val>
          </value>
        </values>
      </ddeItem>
      <ddeItem name="4155.TW-ExchangeIndustry" advise="1">
        <values>
          <value t="str">
            <val>上市化學生技醫療,上市生技醫療</val>
          </value>
        </values>
      </ddeItem>
      <ddeItem name="4155.TW-ID" advise="1">
        <values>
          <value t="str">
            <val>4155</val>
          </value>
        </values>
      </ddeItem>
      <ddeItem name="4155.TW-InOutRatioNumber" advise="1">
        <values>
          <value t="str">
            <val>75.56%</val>
          </value>
        </values>
      </ddeItem>
      <ddeItem name="4155.TW-Name" advise="1">
        <values>
          <value t="str">
            <val>訊映</val>
          </value>
        </values>
      </ddeItem>
      <ddeItem name="4155.TW-PreTotalVolumeRate" advise="1">
        <values>
          <value>
            <val>0.55000000000000004</val>
          </value>
        </values>
      </ddeItem>
      <ddeItem name="4155.TW-Price" advise="1">
        <values>
          <value>
            <val>23</val>
          </value>
        </values>
      </ddeItem>
      <ddeItem name="4155.TW-PriceChangeRatio" advise="1">
        <values>
          <value>
            <val>0.66</val>
          </value>
        </values>
      </ddeItem>
      <ddeItem name="4155.TW-Time" advise="1">
        <values>
          <value t="str">
            <val>10:10:59</val>
          </value>
        </values>
      </ddeItem>
      <ddeItem name="4155.TW-VolumeRatio" advise="1">
        <values>
          <value>
            <val>2.0699999999999998</val>
          </value>
        </values>
      </ddeItem>
      <ddeItem name="4164.TW-5DayAvgVol" advise="1">
        <values>
          <value>
            <val>171</val>
          </value>
        </values>
      </ddeItem>
      <ddeItem name="4164.TW-AvgPrice" advise="1">
        <values>
          <value>
            <val>36.69</val>
          </value>
        </values>
      </ddeItem>
      <ddeItem name="4164.TW-Capital" advise="1">
        <values>
          <value t="str">
            <val>16.10</val>
          </value>
        </values>
      </ddeItem>
      <ddeItem name="4164.TW-DLOrderValueDiffRatio" advise="1">
        <values>
          <value>
            <val>0</val>
          </value>
        </values>
      </ddeItem>
      <ddeItem name="4164.TW-DXLOrderOutValueRatio" advise="1">
        <values>
          <value>
            <val>0</val>
          </value>
        </values>
      </ddeItem>
      <ddeItem name="4164.TW-DXLOrderValueDiffRatio" advise="1">
        <values>
          <value>
            <val>0</val>
          </value>
        </values>
      </ddeItem>
      <ddeItem name="4164.TW-ExchangeIndustry" advise="1">
        <values>
          <value t="str">
            <val>上市化學生技醫療,上市生技醫療</val>
          </value>
        </values>
      </ddeItem>
      <ddeItem name="4164.TW-ID" advise="1">
        <values>
          <value t="str">
            <val>4164</val>
          </value>
        </values>
      </ddeItem>
      <ddeItem name="4164.TW-InOutRatioNumber" advise="1">
        <values>
          <value t="str">
            <val>68.42%</val>
          </value>
        </values>
      </ddeItem>
      <ddeItem name="4164.TW-Name" advise="1">
        <values>
          <value t="str">
            <val>承業醫</val>
          </value>
        </values>
      </ddeItem>
      <ddeItem name="4164.TW-PreTotalVolumeRate" advise="1">
        <values>
          <value>
            <val>0.45</val>
          </value>
        </values>
      </ddeItem>
      <ddeItem name="4164.TW-Price" advise="1">
        <values>
          <value>
            <val>36.85</val>
          </value>
        </values>
      </ddeItem>
      <ddeItem name="4164.TW-PriceChangeRatio" advise="1">
        <values>
          <value>
            <val>0.82</val>
          </value>
        </values>
      </ddeItem>
      <ddeItem name="4164.TW-Time" advise="1">
        <values>
          <value t="str">
            <val>10:14:12</val>
          </value>
        </values>
      </ddeItem>
      <ddeItem name="4164.TW-VolumeRatio" advise="1">
        <values>
          <value>
            <val>1.25</val>
          </value>
        </values>
      </ddeItem>
      <ddeItem name="4190.TW-5DayAvgVol" advise="1">
        <values>
          <value>
            <val>38</val>
          </value>
        </values>
      </ddeItem>
      <ddeItem name="4190.TW-AvgPrice" advise="1">
        <values>
          <value>
            <val>72.53</val>
          </value>
        </values>
      </ddeItem>
      <ddeItem name="4190.TW-Capital" advise="1">
        <values>
          <value t="str">
            <val>6.09</val>
          </value>
        </values>
      </ddeItem>
      <ddeItem name="4190.TW-DLOrderValueDiffRatio" advise="1">
        <values>
          <value>
            <val>0</val>
          </value>
        </values>
      </ddeItem>
      <ddeItem name="4190.TW-DXLOrderOutValueRatio" advise="1">
        <values>
          <value>
            <val>0</val>
          </value>
        </values>
      </ddeItem>
      <ddeItem name="4190.TW-DXLOrderValueDiffRatio" advise="1">
        <values>
          <value>
            <val>0</val>
          </value>
        </values>
      </ddeItem>
      <ddeItem name="4190.TW-ExchangeIndustry" advise="1">
        <values>
          <value t="str">
            <val>上市化學生技醫療,上市生技醫療</val>
          </value>
        </values>
      </ddeItem>
      <ddeItem name="4190.TW-ID" advise="1">
        <values>
          <value t="str">
            <val>4190</val>
          </value>
        </values>
      </ddeItem>
      <ddeItem name="4190.TW-InOutRatioNumber" advise="1">
        <values>
          <value t="str">
            <val>71.43%</val>
          </value>
        </values>
      </ddeItem>
      <ddeItem name="4190.TW-Name" advise="1">
        <values>
          <value t="str">
            <val>佐登-KY</val>
          </value>
        </values>
      </ddeItem>
      <ddeItem name="4190.TW-PreTotalVolumeRate" advise="1">
        <values>
          <value>
            <val>1.88</val>
          </value>
        </values>
      </ddeItem>
      <ddeItem name="4190.TW-Price" advise="1">
        <values>
          <value>
            <val>72.5</val>
          </value>
        </values>
      </ddeItem>
      <ddeItem name="4190.TW-PriceChangeRatio" advise="1">
        <values>
          <value>
            <val>0</val>
          </value>
        </values>
      </ddeItem>
      <ddeItem name="4190.TW-Time" advise="1">
        <values>
          <value t="str">
            <val>10:04:17</val>
          </value>
        </values>
      </ddeItem>
      <ddeItem name="4190.TW-VolumeRatio" advise="1">
        <values>
          <value>
            <val>4.22</val>
          </value>
        </values>
      </ddeItem>
      <ddeItem name="4306.TW-5DayAvgVol" advise="1">
        <values>
          <value>
            <val>947</val>
          </value>
        </values>
      </ddeItem>
      <ddeItem name="4306.TW-AvgPrice" advise="1">
        <values>
          <value>
            <val>15.21</val>
          </value>
        </values>
      </ddeItem>
      <ddeItem name="4306.TW-Capital" advise="1">
        <values>
          <value t="str">
            <val>63.81</val>
          </value>
        </values>
      </ddeItem>
      <ddeItem name="4306.TW-DLOrderValueDiffRatio" advise="1">
        <values>
          <value>
            <val>5.0599999999999996</val>
          </value>
        </values>
      </ddeItem>
      <ddeItem name="4306.TW-DXLOrderOutValueRatio" advise="1">
        <values>
          <value>
            <val>0</val>
          </value>
        </values>
      </ddeItem>
      <ddeItem name="4306.TW-DXLOrderValueDiffRatio" advise="1">
        <values>
          <value>
            <val>-14.49</val>
          </value>
        </values>
      </ddeItem>
      <ddeItem name="4306.TW-ExchangeIndustry" advise="1">
        <values>
          <value t="str">
            <val>上市塑膠</val>
          </value>
        </values>
      </ddeItem>
      <ddeItem name="4306.TW-ID" advise="1">
        <values>
          <value t="str">
            <val>4306</val>
          </value>
        </values>
      </ddeItem>
      <ddeItem name="4306.TW-InOutRatioNumber" advise="1">
        <values>
          <value t="str">
            <val>48.18%</val>
          </value>
        </values>
      </ddeItem>
      <ddeItem name="4306.TW-Name" advise="1">
        <values>
          <value t="str">
            <val>炎洲</val>
          </value>
        </values>
      </ddeItem>
      <ddeItem name="4306.TW-PreTotalVolumeRate" advise="1">
        <values>
          <value>
            <val>0.56000000000000005</val>
          </value>
        </values>
      </ddeItem>
      <ddeItem name="4306.TW-Price" advise="1">
        <values>
          <value>
            <val>15.25</val>
          </value>
        </values>
      </ddeItem>
      <ddeItem name="4306.TW-PriceChangeRatio" advise="1">
        <values>
          <value>
            <val>0.66</val>
          </value>
        </values>
      </ddeItem>
      <ddeItem name="4306.TW-Time" advise="1">
        <values>
          <value t="str">
            <val>10:14:44</val>
          </value>
        </values>
      </ddeItem>
      <ddeItem name="4306.TW-VolumeRatio" advise="1">
        <values>
          <value>
            <val>1.72</val>
          </value>
        </values>
      </ddeItem>
      <ddeItem name="4414.TW-5DayAvgVol" advise="1">
        <values>
          <value>
            <val>1728</val>
          </value>
        </values>
      </ddeItem>
      <ddeItem name="4414.TW-AvgPrice" advise="1">
        <values>
          <value>
            <val>8.27</val>
          </value>
        </values>
      </ddeItem>
      <ddeItem name="4414.TW-Capital" advise="1">
        <values>
          <value t="str">
            <val>81.89</val>
          </value>
        </values>
      </ddeItem>
      <ddeItem name="4414.TW-DLOrderValueDiffRatio" advise="1">
        <values>
          <value>
            <val>-6.21</val>
          </value>
        </values>
      </ddeItem>
      <ddeItem name="4414.TW-DXLOrderOutValueRatio" advise="1">
        <values>
          <value>
            <val>0</val>
          </value>
        </values>
      </ddeItem>
      <ddeItem name="4414.TW-DXLOrderValueDiffRatio" advise="1">
        <values>
          <value>
            <val>0</val>
          </value>
        </values>
      </ddeItem>
      <ddeItem name="4414.TW-ExchangeIndustry" advise="1">
        <values>
          <value t="str">
            <val>上市紡織纖維</val>
          </value>
        </values>
      </ddeItem>
      <ddeItem name="4414.TW-ID" advise="1">
        <values>
          <value t="str">
            <val>4414</val>
          </value>
        </values>
      </ddeItem>
      <ddeItem name="4414.TW-InOutRatioNumber" advise="1">
        <values>
          <value t="str">
            <val>62.45%</val>
          </value>
        </values>
      </ddeItem>
      <ddeItem name="4414.TW-Name" advise="1">
        <values>
          <value t="str">
            <val>如興</val>
          </value>
        </values>
      </ddeItem>
      <ddeItem name="4414.TW-PreTotalVolumeRate" advise="1">
        <values>
          <value>
            <val>1.63</val>
          </value>
        </values>
      </ddeItem>
      <ddeItem name="4414.TW-Price" advise="1">
        <values>
          <value>
            <val>8.26</val>
          </value>
        </values>
      </ddeItem>
      <ddeItem name="4414.TW-PriceChangeRatio" advise="1">
        <values>
          <value>
            <val>2.61</val>
          </value>
        </values>
      </ddeItem>
      <ddeItem name="4414.TW-Time" advise="1">
        <values>
          <value t="str">
            <val>10:11:54</val>
          </value>
        </values>
      </ddeItem>
      <ddeItem name="4414.TW-VolumeRatio" advise="1">
        <values>
          <value>
            <val>3.98</val>
          </value>
        </values>
      </ddeItem>
      <ddeItem name="4426.TW-5DayAvgVol" advise="1">
        <values>
          <value>
            <val>96</val>
          </value>
        </values>
      </ddeItem>
      <ddeItem name="4426.TW-AvgPrice" advise="1">
        <values>
          <value>
            <val>18.170000000000002</val>
          </value>
        </values>
      </ddeItem>
      <ddeItem name="4426.TW-Capital" advise="1">
        <values>
          <value t="str">
            <val>17.27</val>
          </value>
        </values>
      </ddeItem>
      <ddeItem name="4426.TW-DLOrderValueDiffRatio" advise="1">
        <values>
          <value>
            <val>0</val>
          </value>
        </values>
      </ddeItem>
      <ddeItem name="4426.TW-DXLOrderOutValueRatio" advise="1">
        <values>
          <value>
            <val>0</val>
          </value>
        </values>
      </ddeItem>
      <ddeItem name="4426.TW-DXLOrderValueDiffRatio" advise="1">
        <values>
          <value>
            <val>0</val>
          </value>
        </values>
      </ddeItem>
      <ddeItem name="4426.TW-ExchangeIndustry" advise="1">
        <values>
          <value t="str">
            <val>上市紡織纖維</val>
          </value>
        </values>
      </ddeItem>
      <ddeItem name="4426.TW-ID" advise="1">
        <values>
          <value t="str">
            <val>4426</val>
          </value>
        </values>
      </ddeItem>
      <ddeItem name="4426.TW-InOutRatioNumber" advise="1">
        <values>
          <value t="str">
            <val>51.92%</val>
          </value>
        </values>
      </ddeItem>
      <ddeItem name="4426.TW-Name" advise="1">
        <values>
          <value t="str">
            <val>利勤</val>
          </value>
        </values>
      </ddeItem>
      <ddeItem name="4426.TW-PreTotalVolumeRate" advise="1">
        <values>
          <value>
            <val>0.63</val>
          </value>
        </values>
      </ddeItem>
      <ddeItem name="4426.TW-Price" advise="1">
        <values>
          <value>
            <val>18.3</val>
          </value>
        </values>
      </ddeItem>
      <ddeItem name="4426.TW-PriceChangeRatio" advise="1">
        <values>
          <value>
            <val>0.55000000000000004</val>
          </value>
        </values>
      </ddeItem>
      <ddeItem name="4426.TW-Time" advise="1">
        <values>
          <value t="str">
            <val>09:55:48</val>
          </value>
        </values>
      </ddeItem>
      <ddeItem name="4426.TW-VolumeRatio" advise="1">
        <values>
          <value>
            <val>1.66</val>
          </value>
        </values>
      </ddeItem>
      <ddeItem name="4438.TW-5DayAvgVol" advise="1">
        <values>
          <value>
            <val>52</val>
          </value>
        </values>
      </ddeItem>
      <ddeItem name="4438.TW-AvgPrice" advise="1">
        <values>
          <value>
            <val>114.83</val>
          </value>
        </values>
      </ddeItem>
      <ddeItem name="4438.TW-Capital" advise="1">
        <values>
          <value t="str">
            <val>10.34</val>
          </value>
        </values>
      </ddeItem>
      <ddeItem name="4438.TW-DLOrderValueDiffRatio" advise="1">
        <values>
          <value>
            <val>0</val>
          </value>
        </values>
      </ddeItem>
      <ddeItem name="4438.TW-DXLOrderOutValueRatio" advise="1">
        <values>
          <value>
            <val>0</val>
          </value>
        </values>
      </ddeItem>
      <ddeItem name="4438.TW-DXLOrderValueDiffRatio" advise="1">
        <values>
          <value>
            <val>0</val>
          </value>
        </values>
      </ddeItem>
      <ddeItem name="4438.TW-ExchangeIndustry" advise="1">
        <values>
          <value t="str">
            <val>上市紡織纖維</val>
          </value>
        </values>
      </ddeItem>
      <ddeItem name="4438.TW-ID" advise="1">
        <values>
          <value t="str">
            <val>4438</val>
          </value>
        </values>
      </ddeItem>
      <ddeItem name="4438.TW-InOutRatioNumber" advise="1">
        <values>
          <value t="str">
            <val>72.22%</val>
          </value>
        </values>
      </ddeItem>
      <ddeItem name="4438.TW-Name" advise="1">
        <values>
          <value t="str">
            <val>廣越</val>
          </value>
        </values>
      </ddeItem>
      <ddeItem name="4438.TW-PreTotalVolumeRate" advise="1">
        <values>
          <value>
            <val>0.43</val>
          </value>
        </values>
      </ddeItem>
      <ddeItem name="4438.TW-Price" advise="1">
        <values>
          <value>
            <val>115</val>
          </value>
        </values>
      </ddeItem>
      <ddeItem name="4438.TW-PriceChangeRatio" advise="1">
        <values>
          <value>
            <val>0.88</val>
          </value>
        </values>
      </ddeItem>
      <ddeItem name="4438.TW-Time" advise="1">
        <values>
          <value t="str">
            <val>10:06:25</val>
          </value>
        </values>
      </ddeItem>
      <ddeItem name="4438.TW-VolumeRatio" advise="1">
        <values>
          <value>
            <val>1.07</val>
          </value>
        </values>
      </ddeItem>
      <ddeItem name="4439.TW-5DayAvgVol" advise="1">
        <values>
          <value>
            <val>21</val>
          </value>
        </values>
      </ddeItem>
      <ddeItem name="4439.TW-AvgPrice" advise="1">
        <values>
          <value>
            <val>138.5</val>
          </value>
        </values>
      </ddeItem>
      <ddeItem name="4439.TW-Capital" advise="1">
        <values>
          <value t="str">
            <val>3.15</val>
          </value>
        </values>
      </ddeItem>
      <ddeItem name="4439.TW-DLOrderValueDiffRatio" advise="1">
        <values>
          <value>
            <val>0</val>
          </value>
        </values>
      </ddeItem>
      <ddeItem name="4439.TW-DXLOrderOutValueRatio" advise="1">
        <values>
          <value>
            <val>0</val>
          </value>
        </values>
      </ddeItem>
      <ddeItem name="4439.TW-DXLOrderValueDiffRatio" advise="1">
        <values>
          <value>
            <val>0</val>
          </value>
        </values>
      </ddeItem>
      <ddeItem name="4439.TW-ExchangeIndustry" advise="1">
        <values>
          <value t="str">
            <val>上市紡織纖維</val>
          </value>
        </values>
      </ddeItem>
      <ddeItem name="4439.TW-ID" advise="1">
        <values>
          <value t="str">
            <val>4439</val>
          </value>
        </values>
      </ddeItem>
      <ddeItem name="4439.TW-InOutRatioNumber" advise="1">
        <values>
          <value t="str">
            <val>100.00%</val>
          </value>
        </values>
      </ddeItem>
      <ddeItem name="4439.TW-Name" advise="1">
        <values>
          <value t="str">
            <val>冠星-KY</val>
          </value>
        </values>
      </ddeItem>
      <ddeItem name="4439.TW-PreTotalVolumeRate" advise="1">
        <values>
          <value>
            <val>0.06</val>
          </value>
        </values>
      </ddeItem>
      <ddeItem name="4439.TW-Price" advise="1">
        <values>
          <value>
            <val>138.5</val>
          </value>
        </values>
      </ddeItem>
      <ddeItem name="4439.TW-PriceChangeRatio" advise="1">
        <values>
          <value>
            <val>0.73</val>
          </value>
        </values>
      </ddeItem>
      <ddeItem name="4439.TW-Time" advise="1">
        <values>
          <value t="str">
            <val>09:56:55</val>
          </value>
        </values>
      </ddeItem>
      <ddeItem name="4439.TW-VolumeRatio" advise="1">
        <values>
          <value>
            <val>0</val>
          </value>
        </values>
      </ddeItem>
      <ddeItem name="4526.TW-5DayAvgVol" advise="1">
        <values>
          <value>
            <val>215</val>
          </value>
        </values>
      </ddeItem>
      <ddeItem name="4526.TW-AvgPrice" advise="1">
        <values>
          <value>
            <val>15.87</val>
          </value>
        </values>
      </ddeItem>
      <ddeItem name="4526.TW-Capital" advise="1">
        <values>
          <value t="str">
            <val>25.48</val>
          </value>
        </values>
      </ddeItem>
      <ddeItem name="4526.TW-DLOrderValueDiffRatio" advise="1">
        <values>
          <value>
            <val>29.27</val>
          </value>
        </values>
      </ddeItem>
      <ddeItem name="4526.TW-DXLOrderOutValueRatio" advise="1">
        <values>
          <value>
            <val>0</val>
          </value>
        </values>
      </ddeItem>
      <ddeItem name="4526.TW-DXLOrderValueDiffRatio" advise="1">
        <values>
          <value>
            <val>0</val>
          </value>
        </values>
      </ddeItem>
      <ddeItem name="4526.TW-ExchangeIndustry" advise="1">
        <values>
          <value t="str">
            <val>上市電機機械</val>
          </value>
        </values>
      </ddeItem>
      <ddeItem name="4526.TW-ID" advise="1">
        <values>
          <value t="str">
            <val>4526</val>
          </value>
        </values>
      </ddeItem>
      <ddeItem name="4526.TW-InOutRatioNumber" advise="1">
        <values>
          <value t="str">
            <val>82.28%</val>
          </value>
        </values>
      </ddeItem>
      <ddeItem name="4526.TW-Name" advise="1">
        <values>
          <value t="str">
            <val>東台</val>
          </value>
        </values>
      </ddeItem>
      <ddeItem name="4526.TW-PreTotalVolumeRate" advise="1">
        <values>
          <value>
            <val>0.75</val>
          </value>
        </values>
      </ddeItem>
      <ddeItem name="4526.TW-Price" advise="1">
        <values>
          <value>
            <val>15.9</val>
          </value>
        </values>
      </ddeItem>
      <ddeItem name="4526.TW-PriceChangeRatio" advise="1">
        <values>
          <value>
            <val>0.63</val>
          </value>
        </values>
      </ddeItem>
      <ddeItem name="4526.TW-Time" advise="1">
        <values>
          <value t="str">
            <val>10:14:04</val>
          </value>
        </values>
      </ddeItem>
      <ddeItem name="4526.TW-VolumeRatio" advise="1">
        <values>
          <value>
            <val>1.92</val>
          </value>
        </values>
      </ddeItem>
      <ddeItem name="4532.TW-5DayAvgVol" advise="1">
        <values>
          <value>
            <val>471</val>
          </value>
        </values>
      </ddeItem>
      <ddeItem name="4532.TW-AvgPrice" advise="1">
        <values>
          <value>
            <val>18.37</val>
          </value>
        </values>
      </ddeItem>
      <ddeItem name="4532.TW-Capital" advise="1">
        <values>
          <value t="str">
            <val>50.49</val>
          </value>
        </values>
      </ddeItem>
      <ddeItem name="4532.TW-DLOrderValueDiffRatio" advise="1">
        <values>
          <value>
            <val>0</val>
          </value>
        </values>
      </ddeItem>
      <ddeItem name="4532.TW-DXLOrderOutValueRatio" advise="1">
        <values>
          <value>
            <val>0</val>
          </value>
        </values>
      </ddeItem>
      <ddeItem name="4532.TW-DXLOrderValueDiffRatio" advise="1">
        <values>
          <value>
            <val>0</val>
          </value>
        </values>
      </ddeItem>
      <ddeItem name="4532.TW-ExchangeIndustry" advise="1">
        <values>
          <value t="str">
            <val>上市電機機械</val>
          </value>
        </values>
      </ddeItem>
      <ddeItem name="4532.TW-ID" advise="1">
        <values>
          <value t="str">
            <val>4532</val>
          </value>
        </values>
      </ddeItem>
      <ddeItem name="4532.TW-InOutRatioNumber" advise="1">
        <values>
          <value t="str">
            <val>48.57%</val>
          </value>
        </values>
      </ddeItem>
      <ddeItem name="4532.TW-Name" advise="1">
        <values>
          <value t="str">
            <val>瑞智</val>
          </value>
        </values>
      </ddeItem>
      <ddeItem name="4532.TW-PreTotalVolumeRate" advise="1">
        <values>
          <value>
            <val>0.28000000000000003</val>
          </value>
        </values>
      </ddeItem>
      <ddeItem name="4532.TW-Price" advise="1">
        <values>
          <value>
            <val>18.399999999999999</val>
          </value>
        </values>
      </ddeItem>
      <ddeItem name="4532.TW-PriceChangeRatio" advise="1">
        <values>
          <value>
            <val>0.55000000000000004</val>
          </value>
        </values>
      </ddeItem>
      <ddeItem name="4532.TW-Time" advise="1">
        <values>
          <value t="str">
            <val>10:08:40</val>
          </value>
        </values>
      </ddeItem>
      <ddeItem name="4532.TW-VolumeRatio" advise="1">
        <values>
          <value>
            <val>0.83</val>
          </value>
        </values>
      </ddeItem>
      <ddeItem name="4540.TW-5DayAvgVol" advise="1">
        <values>
          <value>
            <val>108</val>
          </value>
        </values>
      </ddeItem>
      <ddeItem name="4540.TW-AvgPrice" advise="1">
        <values>
          <value>
            <val>46.98</val>
          </value>
        </values>
      </ddeItem>
      <ddeItem name="4540.TW-Capital" advise="1">
        <values>
          <value t="str">
            <val>9.42</val>
          </value>
        </values>
      </ddeItem>
      <ddeItem name="4540.TW-DLOrderValueDiffRatio" advise="1">
        <values>
          <value>
            <val>0</val>
          </value>
        </values>
      </ddeItem>
      <ddeItem name="4540.TW-DXLOrderOutValueRatio" advise="1">
        <values>
          <value>
            <val>0</val>
          </value>
        </values>
      </ddeItem>
      <ddeItem name="4540.TW-DXLOrderValueDiffRatio" advise="1">
        <values>
          <value>
            <val>0</val>
          </value>
        </values>
      </ddeItem>
      <ddeItem name="4540.TW-ExchangeIndustry" advise="1">
        <values>
          <value t="str">
            <val>上市電機機械</val>
          </value>
        </values>
      </ddeItem>
      <ddeItem name="4540.TW-ID" advise="1">
        <values>
          <value t="str">
            <val>4540</val>
          </value>
        </values>
      </ddeItem>
      <ddeItem name="4540.TW-InOutRatioNumber" advise="1">
        <values>
          <value t="str">
            <val>10.34%</val>
          </value>
        </values>
      </ddeItem>
      <ddeItem name="4540.TW-Name" advise="1">
        <values>
          <value t="str">
            <val>全球傳動</val>
          </value>
        </values>
      </ddeItem>
      <ddeItem name="4540.TW-PreTotalVolumeRate" advise="1">
        <values>
          <value>
            <val>0.62</val>
          </value>
        </values>
      </ddeItem>
      <ddeItem name="4540.TW-Price" advise="1">
        <values>
          <value>
            <val>47</val>
          </value>
        </values>
      </ddeItem>
      <ddeItem name="4540.TW-PriceChangeRatio" advise="1">
        <values>
          <value>
            <val>-1.1599999999999999</val>
          </value>
        </values>
      </ddeItem>
      <ddeItem name="4540.TW-Time" advise="1">
        <values>
          <value t="str">
            <val>10:06:52</val>
          </value>
        </values>
      </ddeItem>
      <ddeItem name="4540.TW-VolumeRatio" advise="1">
        <values>
          <value>
            <val>1.03</val>
          </value>
        </values>
      </ddeItem>
      <ddeItem name="4551.TW-5DayAvgVol" advise="1">
        <values>
          <value>
            <val>203</val>
          </value>
        </values>
      </ddeItem>
      <ddeItem name="4551.TW-AvgPrice" advise="1">
        <values>
          <value>
            <val>153.69</val>
          </value>
        </values>
      </ddeItem>
      <ddeItem name="4551.TW-Capital" advise="1">
        <values>
          <value t="str">
            <val>11.77</val>
          </value>
        </values>
      </ddeItem>
      <ddeItem name="4551.TW-DLOrderValueDiffRatio" advise="1">
        <values>
          <value>
            <val>0</val>
          </value>
        </values>
      </ddeItem>
      <ddeItem name="4551.TW-DXLOrderOutValueRatio" advise="1">
        <values>
          <value>
            <val>0</val>
          </value>
        </values>
      </ddeItem>
      <ddeItem name="4551.TW-DXLOrderValueDiffRatio" advise="1">
        <values>
          <value>
            <val>0</val>
          </value>
        </values>
      </ddeItem>
      <ddeItem name="4551.TW-ExchangeIndustry" advise="1">
        <values>
          <value t="str">
            <val>上市汽車</val>
          </value>
        </values>
      </ddeItem>
      <ddeItem name="4551.TW-ID" advise="1">
        <values>
          <value t="str">
            <val>4551</val>
          </value>
        </values>
      </ddeItem>
      <ddeItem name="4551.TW-InOutRatioNumber" advise="1">
        <values>
          <value t="str">
            <val>19.35%</val>
          </value>
        </values>
      </ddeItem>
      <ddeItem name="4551.TW-Name" advise="1">
        <values>
          <value t="str">
            <val>智伸科</val>
          </value>
        </values>
      </ddeItem>
      <ddeItem name="4551.TW-PreTotalVolumeRate" advise="1">
        <values>
          <value>
            <val>0.14000000000000001</val>
          </value>
        </values>
      </ddeItem>
      <ddeItem name="4551.TW-Price" advise="1">
        <values>
          <value>
            <val>152.5</val>
          </value>
        </values>
      </ddeItem>
      <ddeItem name="4551.TW-PriceChangeRatio" advise="1">
        <values>
          <value>
            <val>-1.29</val>
          </value>
        </values>
      </ddeItem>
      <ddeItem name="4551.TW-Time" advise="1">
        <values>
          <value t="str">
            <val>10:12:59</val>
          </value>
        </values>
      </ddeItem>
      <ddeItem name="4551.TW-VolumeRatio" advise="1">
        <values>
          <value>
            <val>0.45</val>
          </value>
        </values>
      </ddeItem>
      <ddeItem name="4552.TW-5DayAvgVol" advise="1">
        <values>
          <value>
            <val>244</val>
          </value>
        </values>
      </ddeItem>
      <ddeItem name="4552.TW-AvgPrice" advise="1">
        <values>
          <value>
            <val>30.2</val>
          </value>
        </values>
      </ddeItem>
      <ddeItem name="4552.TW-Capital" advise="1">
        <values>
          <value t="str">
            <val>11.60</val>
          </value>
        </values>
      </ddeItem>
      <ddeItem name="4552.TW-DLOrderValueDiffRatio" advise="1">
        <values>
          <value>
            <val>0</val>
          </value>
        </values>
      </ddeItem>
      <ddeItem name="4552.TW-DXLOrderOutValueRatio" advise="1">
        <values>
          <value>
            <val>0</val>
          </value>
        </values>
      </ddeItem>
      <ddeItem name="4552.TW-DXLOrderValueDiffRatio" advise="1">
        <values>
          <value>
            <val>0</val>
          </value>
        </values>
      </ddeItem>
      <ddeItem name="4552.TW-ExchangeIndustry" advise="1">
        <values>
          <value t="str">
            <val>上市電機機械</val>
          </value>
        </values>
      </ddeItem>
      <ddeItem name="4552.TW-ID" advise="1">
        <values>
          <value t="str">
            <val>4552</val>
          </value>
        </values>
      </ddeItem>
      <ddeItem name="4552.TW-InOutRatioNumber" advise="1">
        <values>
          <value t="str">
            <val>80.00%</val>
          </value>
        </values>
      </ddeItem>
      <ddeItem name="4552.TW-Name" advise="1">
        <values>
          <value t="str">
            <val>力達-KY</val>
          </value>
        </values>
      </ddeItem>
      <ddeItem name="4552.TW-PreTotalVolumeRate" advise="1">
        <values>
          <value>
            <val>0.18</val>
          </value>
        </values>
      </ddeItem>
      <ddeItem name="4552.TW-Price" advise="1">
        <values>
          <value>
            <val>30.2</val>
          </value>
        </values>
      </ddeItem>
      <ddeItem name="4552.TW-PriceChangeRatio" advise="1">
        <values>
          <value>
            <val>0.83</val>
          </value>
        </values>
      </ddeItem>
      <ddeItem name="4552.TW-Time" advise="1">
        <values>
          <value t="str">
            <val>09:51:38</val>
          </value>
        </values>
      </ddeItem>
      <ddeItem name="4552.TW-VolumeRatio" advise="1">
        <values>
          <value>
            <val>0.83</val>
          </value>
        </values>
      </ddeItem>
      <ddeItem name="4555.TW-5DayAvgVol" advise="1">
        <values>
          <value>
            <val>54</val>
          </value>
        </values>
      </ddeItem>
      <ddeItem name="4555.TW-AvgPrice" advise="1">
        <values>
          <value>
            <val>51.56</val>
          </value>
        </values>
      </ddeItem>
      <ddeItem name="4555.TW-Capital" advise="1">
        <values>
          <value t="str">
            <val>6.70</val>
          </value>
        </values>
      </ddeItem>
      <ddeItem name="4555.TW-DLOrderValueDiffRatio" advise="1">
        <values>
          <value>
            <val>0</val>
          </value>
        </values>
      </ddeItem>
      <ddeItem name="4555.TW-DXLOrderOutValueRatio" advise="1">
        <values>
          <value>
            <val>0</val>
          </value>
        </values>
      </ddeItem>
      <ddeItem name="4555.TW-DXLOrderValueDiffRatio" advise="1">
        <values>
          <value>
            <val>0</val>
          </value>
        </values>
      </ddeItem>
      <ddeItem name="4555.TW-ExchangeIndustry" advise="1">
        <values>
          <value t="str">
            <val>上市電機機械</val>
          </value>
        </values>
      </ddeItem>
      <ddeItem name="4555.TW-ID" advise="1">
        <values>
          <value t="str">
            <val>4555</val>
          </value>
        </values>
      </ddeItem>
      <ddeItem name="4555.TW-InOutRatioNumber" advise="1">
        <values>
          <value t="str">
            <val>28.57%</val>
          </value>
        </values>
      </ddeItem>
      <ddeItem name="4555.TW-Name" advise="1">
        <values>
          <value t="str">
            <val>氣立</val>
          </value>
        </values>
      </ddeItem>
      <ddeItem name="4555.TW-PreTotalVolumeRate" advise="1">
        <values>
          <value>
            <val>0.52</val>
          </value>
        </values>
      </ddeItem>
      <ddeItem name="4555.TW-Price" advise="1">
        <values>
          <value>
            <val>51.7</val>
          </value>
        </values>
      </ddeItem>
      <ddeItem name="4555.TW-PriceChangeRatio" advise="1">
        <values>
          <value>
            <val>-2.08</val>
          </value>
        </values>
      </ddeItem>
      <ddeItem name="4555.TW-Time" advise="1">
        <values>
          <value t="str">
            <val>09:34:58</val>
          </value>
        </values>
      </ddeItem>
      <ddeItem name="4555.TW-VolumeRatio" advise="1">
        <values>
          <value>
            <val>0.66</val>
          </value>
        </values>
      </ddeItem>
      <ddeItem name="4557.TW-5DayAvgVol" advise="1">
        <values>
          <value>
            <val>28</val>
          </value>
        </values>
      </ddeItem>
      <ddeItem name="4557.TW-AvgPrice" advise="1">
        <values>
          <value t="str">
            <val>--</val>
          </value>
        </values>
      </ddeItem>
      <ddeItem name="4557.TW-Capital" advise="1">
        <values>
          <value t="str">
            <val>3.98</val>
          </value>
        </values>
      </ddeItem>
      <ddeItem name="4557.TW-DLOrderValueDiffRatio" advise="1">
        <values>
          <value>
            <val>0</val>
          </value>
        </values>
      </ddeItem>
      <ddeItem name="4557.TW-DXLOrderOutValueRatio" advise="1">
        <values>
          <value>
            <val>0</val>
          </value>
        </values>
      </ddeItem>
      <ddeItem name="4557.TW-DXLOrderValueDiffRatio" advise="1">
        <values>
          <value>
            <val>0</val>
          </value>
        </values>
      </ddeItem>
      <ddeItem name="4557.TW-ExchangeIndustry" advise="1">
        <values>
          <value t="str">
            <val>上市汽車</val>
          </value>
        </values>
      </ddeItem>
      <ddeItem name="4557.TW-ID" advise="1">
        <values>
          <value t="str">
            <val>4557</val>
          </value>
        </values>
      </ddeItem>
      <ddeItem name="4557.TW-InOutRatioNumber" advise="1">
        <values>
          <value t="str">
            <val>--</val>
          </value>
        </values>
      </ddeItem>
      <ddeItem name="4557.TW-Name" advise="1">
        <values>
          <value t="str">
            <val>永新-KY</val>
          </value>
        </values>
      </ddeItem>
      <ddeItem name="4557.TW-PreTotalVolumeRate" advise="1">
        <values>
          <value>
            <val>0</val>
          </value>
        </values>
      </ddeItem>
      <ddeItem name="4557.TW-Price" advise="1">
        <values>
          <value t="str">
            <val>--</val>
          </value>
        </values>
      </ddeItem>
      <ddeItem name="4557.TW-PriceChangeRatio" advise="1">
        <values>
          <value t="str">
            <val>--</val>
          </value>
        </values>
      </ddeItem>
      <ddeItem name="4557.TW-Time" advise="1">
        <values>
          <value t="str">
            <val>--</val>
          </value>
        </values>
      </ddeItem>
      <ddeItem name="4557.TW-VolumeRatio" advise="1">
        <values>
          <value>
            <val>0</val>
          </value>
        </values>
      </ddeItem>
      <ddeItem name="4560.TW-5DayAvgVol" advise="1">
        <values>
          <value>
            <val>92</val>
          </value>
        </values>
      </ddeItem>
      <ddeItem name="4560.TW-AvgPrice" advise="1">
        <values>
          <value>
            <val>42.22</val>
          </value>
        </values>
      </ddeItem>
      <ddeItem name="4560.TW-Capital" advise="1">
        <values>
          <value t="str">
            <val>6.82</val>
          </value>
        </values>
      </ddeItem>
      <ddeItem name="4560.TW-DLOrderValueDiffRatio" advise="1">
        <values>
          <value>
            <val>12.56</val>
          </value>
        </values>
      </ddeItem>
      <ddeItem name="4560.TW-DXLOrderOutValueRatio" advise="1">
        <values>
          <value>
            <val>0</val>
          </value>
        </values>
      </ddeItem>
      <ddeItem name="4560.TW-DXLOrderValueDiffRatio" advise="1">
        <values>
          <value>
            <val>0</val>
          </value>
        </values>
      </ddeItem>
      <ddeItem name="4560.TW-ExchangeIndustry" advise="1">
        <values>
          <value t="str">
            <val>上市電機機械</val>
          </value>
        </values>
      </ddeItem>
      <ddeItem name="4560.TW-ID" advise="1">
        <values>
          <value t="str">
            <val>4560</val>
          </value>
        </values>
      </ddeItem>
      <ddeItem name="4560.TW-InOutRatioNumber" advise="1">
        <values>
          <value t="str">
            <val>56.25%</val>
          </value>
        </values>
      </ddeItem>
      <ddeItem name="4560.TW-Name" advise="1">
        <values>
          <value t="str">
            <val>強信-KY</val>
          </value>
        </values>
      </ddeItem>
      <ddeItem name="4560.TW-PreTotalVolumeRate" advise="1">
        <values>
          <value>
            <val>0.62</val>
          </value>
        </values>
      </ddeItem>
      <ddeItem name="4560.TW-Price" advise="1">
        <values>
          <value>
            <val>42.1</val>
          </value>
        </values>
      </ddeItem>
      <ddeItem name="4560.TW-PriceChangeRatio" advise="1">
        <values>
          <value>
            <val>-0.94</val>
          </value>
        </values>
      </ddeItem>
      <ddeItem name="4560.TW-Time" advise="1">
        <values>
          <value t="str">
            <val>09:47:47</val>
          </value>
        </values>
      </ddeItem>
      <ddeItem name="4560.TW-VolumeRatio" advise="1">
        <values>
          <value>
            <val>1.17</val>
          </value>
        </values>
      </ddeItem>
      <ddeItem name="4562.TW-5DayAvgVol" advise="1">
        <values>
          <value>
            <val>53</val>
          </value>
        </values>
      </ddeItem>
      <ddeItem name="4562.TW-AvgPrice" advise="1">
        <values>
          <value>
            <val>18.2</val>
          </value>
        </values>
      </ddeItem>
      <ddeItem name="4562.TW-Capital" advise="1">
        <values>
          <value t="str">
            <val>6.75</val>
          </value>
        </values>
      </ddeItem>
      <ddeItem name="4562.TW-DLOrderValueDiffRatio" advise="1">
        <values>
          <value>
            <val>0</val>
          </value>
        </values>
      </ddeItem>
      <ddeItem name="4562.TW-DXLOrderOutValueRatio" advise="1">
        <values>
          <value>
            <val>0</val>
          </value>
        </values>
      </ddeItem>
      <ddeItem name="4562.TW-DXLOrderValueDiffRatio" advise="1">
        <values>
          <value>
            <val>0</val>
          </value>
        </values>
      </ddeItem>
      <ddeItem name="4562.TW-ExchangeIndustry" advise="1">
        <values>
          <value t="str">
            <val>上市電機機械</val>
          </value>
        </values>
      </ddeItem>
      <ddeItem name="4562.TW-ID" advise="1">
        <values>
          <value t="str">
            <val>4562</val>
          </value>
        </values>
      </ddeItem>
      <ddeItem name="4562.TW-InOutRatioNumber" advise="1">
        <values>
          <value t="str">
            <val>100.00%</val>
          </value>
        </values>
      </ddeItem>
      <ddeItem name="4562.TW-Name" advise="1">
        <values>
          <value t="str">
            <val>穎漢</val>
          </value>
        </values>
      </ddeItem>
      <ddeItem name="4562.TW-PreTotalVolumeRate" advise="1">
        <values>
          <value>
            <val>0.01</val>
          </value>
        </values>
      </ddeItem>
      <ddeItem name="4562.TW-Price" advise="1">
        <values>
          <value>
            <val>18.2</val>
          </value>
        </values>
      </ddeItem>
      <ddeItem name="4562.TW-PriceChangeRatio" advise="1">
        <values>
          <value>
            <val>0.28000000000000003</val>
          </value>
        </values>
      </ddeItem>
      <ddeItem name="4562.TW-Time" advise="1">
        <values>
          <value t="str">
            <val>09:29:36</val>
          </value>
        </values>
      </ddeItem>
      <ddeItem name="4562.TW-VolumeRatio" advise="1">
        <values>
          <value>
            <val>0</val>
          </value>
        </values>
      </ddeItem>
      <ddeItem name="4564.TW-5DayAvgVol" advise="1">
        <values>
          <value>
            <val>412</val>
          </value>
        </values>
      </ddeItem>
      <ddeItem name="4564.TW-AvgPrice" advise="1">
        <values>
          <value>
            <val>41.97</val>
          </value>
        </values>
      </ddeItem>
      <ddeItem name="4564.TW-Capital" advise="1">
        <values>
          <value t="str">
            <val>18.28</val>
          </value>
        </values>
      </ddeItem>
      <ddeItem name="4564.TW-DLOrderValueDiffRatio" advise="1">
        <values>
          <value>
            <val>12.44</val>
          </value>
        </values>
      </ddeItem>
      <ddeItem name="4564.TW-DXLOrderOutValueRatio" advise="1">
        <values>
          <value>
            <val>0</val>
          </value>
        </values>
      </ddeItem>
      <ddeItem name="4564.TW-DXLOrderValueDiffRatio" advise="1">
        <values>
          <value>
            <val>0</val>
          </value>
        </values>
      </ddeItem>
      <ddeItem name="4564.TW-ExchangeIndustry" advise="1">
        <values>
          <value t="str">
            <val>上市電機機械</val>
          </value>
        </values>
      </ddeItem>
      <ddeItem name="4564.TW-ID" advise="1">
        <values>
          <value t="str">
            <val>4564</val>
          </value>
        </values>
      </ddeItem>
      <ddeItem name="4564.TW-InOutRatioNumber" advise="1">
        <values>
          <value t="str">
            <val>79.55%</val>
          </value>
        </values>
      </ddeItem>
      <ddeItem name="4564.TW-Name" advise="1">
        <values>
          <value t="str">
            <val>元翎</val>
          </value>
        </values>
      </ddeItem>
      <ddeItem name="4564.TW-PreTotalVolumeRate" advise="1">
        <values>
          <value>
            <val>0.69</val>
          </value>
        </values>
      </ddeItem>
      <ddeItem name="4564.TW-Price" advise="1">
        <values>
          <value>
            <val>42.1</val>
          </value>
        </values>
      </ddeItem>
      <ddeItem name="4564.TW-PriceChangeRatio" advise="1">
        <values>
          <value>
            <val>1.69</val>
          </value>
        </values>
      </ddeItem>
      <ddeItem name="4564.TW-Time" advise="1">
        <values>
          <value t="str">
            <val>10:14:08</val>
          </value>
        </values>
      </ddeItem>
      <ddeItem name="4564.TW-VolumeRatio" advise="1">
        <values>
          <value>
            <val>1.78</val>
          </value>
        </values>
      </ddeItem>
      <ddeItem name="4566.TW-5DayAvgVol" advise="1">
        <values>
          <value>
            <val>39</val>
          </value>
        </values>
      </ddeItem>
      <ddeItem name="4566.TW-AvgPrice" advise="1">
        <values>
          <value>
            <val>41.7</val>
          </value>
        </values>
      </ddeItem>
      <ddeItem name="4566.TW-Capital" advise="1">
        <values>
          <value t="str">
            <val>7.19</val>
          </value>
        </values>
      </ddeItem>
      <ddeItem name="4566.TW-DLOrderValueDiffRatio" advise="1">
        <values>
          <value>
            <val>0</val>
          </value>
        </values>
      </ddeItem>
      <ddeItem name="4566.TW-DXLOrderOutValueRatio" advise="1">
        <values>
          <value>
            <val>0</val>
          </value>
        </values>
      </ddeItem>
      <ddeItem name="4566.TW-DXLOrderValueDiffRatio" advise="1">
        <values>
          <value>
            <val>0</val>
          </value>
        </values>
      </ddeItem>
      <ddeItem name="4566.TW-ExchangeIndustry" advise="1">
        <values>
          <value t="str">
            <val>上市電機機械</val>
          </value>
        </values>
      </ddeItem>
      <ddeItem name="4566.TW-ID" advise="1">
        <values>
          <value t="str">
            <val>4566</val>
          </value>
        </values>
      </ddeItem>
      <ddeItem name="4566.TW-InOutRatioNumber" advise="1">
        <values>
          <value t="str">
            <val>0.00%</val>
          </value>
        </values>
      </ddeItem>
      <ddeItem name="4566.TW-Name" advise="1">
        <values>
          <value t="str">
            <val>時碩工業</val>
          </value>
        </values>
      </ddeItem>
      <ddeItem name="4566.TW-PreTotalVolumeRate" advise="1">
        <values>
          <value>
            <val>0.05</val>
          </value>
        </values>
      </ddeItem>
      <ddeItem name="4566.TW-Price" advise="1">
        <values>
          <value>
            <val>41.7</val>
          </value>
        </values>
      </ddeItem>
      <ddeItem name="4566.TW-PriceChangeRatio" advise="1">
        <values>
          <value>
            <val>-0.95</val>
          </value>
        </values>
      </ddeItem>
      <ddeItem name="4566.TW-Time" advise="1">
        <values>
          <value t="str">
            <val>09:49:37</val>
          </value>
        </values>
      </ddeItem>
      <ddeItem name="4566.TW-VolumeRatio" advise="1">
        <values>
          <value>
            <val>0.25</val>
          </value>
        </values>
      </ddeItem>
      <ddeItem name="4571.TW-5DayAvgVol" advise="1">
        <values>
          <value>
            <val>40</val>
          </value>
        </values>
      </ddeItem>
      <ddeItem name="4571.TW-AvgPrice" advise="1">
        <values>
          <value>
            <val>96.58</val>
          </value>
        </values>
      </ddeItem>
      <ddeItem name="4571.TW-Capital" advise="1">
        <values>
          <value t="str">
            <val>4.84</val>
          </value>
        </values>
      </ddeItem>
      <ddeItem name="4571.TW-DLOrderValueDiffRatio" advise="1">
        <values>
          <value>
            <val>0</val>
          </value>
        </values>
      </ddeItem>
      <ddeItem name="4571.TW-DXLOrderOutValueRatio" advise="1">
        <values>
          <value>
            <val>0</val>
          </value>
        </values>
      </ddeItem>
      <ddeItem name="4571.TW-DXLOrderValueDiffRatio" advise="1">
        <values>
          <value>
            <val>0</val>
          </value>
        </values>
      </ddeItem>
      <ddeItem name="4571.TW-ExchangeIndustry" advise="1">
        <values>
          <value t="str">
            <val>上市電機機械</val>
          </value>
        </values>
      </ddeItem>
      <ddeItem name="4571.TW-ID" advise="1">
        <values>
          <value t="str">
            <val>4571</val>
          </value>
        </values>
      </ddeItem>
      <ddeItem name="4571.TW-InOutRatioNumber" advise="1">
        <values>
          <value t="str">
            <val>0.00%</val>
          </value>
        </values>
      </ddeItem>
      <ddeItem name="4571.TW-Name" advise="1">
        <values>
          <value t="str">
            <val>鈞興-KY</val>
          </value>
        </values>
      </ddeItem>
      <ddeItem name="4571.TW-PreTotalVolumeRate" advise="1">
        <values>
          <value>
            <val>0.1</val>
          </value>
        </values>
      </ddeItem>
      <ddeItem name="4571.TW-Price" advise="1">
        <values>
          <value>
            <val>96.1</val>
          </value>
        </values>
      </ddeItem>
      <ddeItem name="4571.TW-PriceChangeRatio" advise="1">
        <values>
          <value>
            <val>-1.1299999999999999</val>
          </value>
        </values>
      </ddeItem>
      <ddeItem name="4571.TW-Time" advise="1">
        <values>
          <value t="str">
            <val>09:53:52</val>
          </value>
        </values>
      </ddeItem>
      <ddeItem name="4571.TW-VolumeRatio" advise="1">
        <values>
          <value>
            <val>0.79</val>
          </value>
        </values>
      </ddeItem>
      <ddeItem name="4572.TW-5DayAvgVol" advise="1">
        <values>
          <value>
            <val>15</val>
          </value>
        </values>
      </ddeItem>
      <ddeItem name="4572.TW-AvgPrice" advise="1">
        <values>
          <value>
            <val>99</val>
          </value>
        </values>
      </ddeItem>
      <ddeItem name="4572.TW-Capital" advise="1">
        <values>
          <value t="str">
            <val>3.58</val>
          </value>
        </values>
      </ddeItem>
      <ddeItem name="4572.TW-DLOrderValueDiffRatio" advise="1">
        <values>
          <value>
            <val>0</val>
          </value>
        </values>
      </ddeItem>
      <ddeItem name="4572.TW-DXLOrderOutValueRatio" advise="1">
        <values>
          <value>
            <val>0</val>
          </value>
        </values>
      </ddeItem>
      <ddeItem name="4572.TW-DXLOrderValueDiffRatio" advise="1">
        <values>
          <value>
            <val>0</val>
          </value>
        </values>
      </ddeItem>
      <ddeItem name="4572.TW-ExchangeIndustry" advise="1">
        <values>
          <value t="str">
            <val>上市電機機械</val>
          </value>
        </values>
      </ddeItem>
      <ddeItem name="4572.TW-ID" advise="1">
        <values>
          <value t="str">
            <val>4572</val>
          </value>
        </values>
      </ddeItem>
      <ddeItem name="4572.TW-InOutRatioNumber" advise="1">
        <values>
          <value t="str">
            <val>75.00%</val>
          </value>
        </values>
      </ddeItem>
      <ddeItem name="4572.TW-Name" advise="1">
        <values>
          <value t="str">
            <val>駐龍</val>
          </value>
        </values>
      </ddeItem>
      <ddeItem name="4572.TW-PreTotalVolumeRate" advise="1">
        <values>
          <value>
            <val>0.5</val>
          </value>
        </values>
      </ddeItem>
      <ddeItem name="4572.TW-Price" advise="1">
        <values>
          <value>
            <val>99</val>
          </value>
        </values>
      </ddeItem>
      <ddeItem name="4572.TW-PriceChangeRatio" advise="1">
        <values>
          <value>
            <val>-0.3</val>
          </value>
        </values>
      </ddeItem>
      <ddeItem name="4572.TW-Time" advise="1">
        <values>
          <value t="str">
            <val>10:06:38</val>
          </value>
        </values>
      </ddeItem>
      <ddeItem name="4572.TW-VolumeRatio" advise="1">
        <values>
          <value>
            <val>0.75</val>
          </value>
        </values>
      </ddeItem>
      <ddeItem name="4576.TW-5DayAvgVol" advise="1">
        <values>
          <value>
            <val>55</val>
          </value>
        </values>
      </ddeItem>
      <ddeItem name="4576.TW-AvgPrice" advise="1">
        <values>
          <value>
            <val>98.4</val>
          </value>
        </values>
      </ddeItem>
      <ddeItem name="4576.TW-Capital" advise="1">
        <values>
          <value t="str">
            <val>11.98</val>
          </value>
        </values>
      </ddeItem>
      <ddeItem name="4576.TW-DLOrderValueDiffRatio" advise="1">
        <values>
          <value>
            <val>0</val>
          </value>
        </values>
      </ddeItem>
      <ddeItem name="4576.TW-DXLOrderOutValueRatio" advise="1">
        <values>
          <value>
            <val>0</val>
          </value>
        </values>
      </ddeItem>
      <ddeItem name="4576.TW-DXLOrderValueDiffRatio" advise="1">
        <values>
          <value>
            <val>0</val>
          </value>
        </values>
      </ddeItem>
      <ddeItem name="4576.TW-ExchangeIndustry" advise="1">
        <values>
          <value t="str">
            <val>上市電機機械</val>
          </value>
        </values>
      </ddeItem>
      <ddeItem name="4576.TW-ID" advise="1">
        <values>
          <value t="str">
            <val>4576</val>
          </value>
        </values>
      </ddeItem>
      <ddeItem name="4576.TW-InOutRatioNumber" advise="1">
        <values>
          <value t="str">
            <val>40.00%</val>
          </value>
        </values>
      </ddeItem>
      <ddeItem name="4576.TW-Name" advise="1">
        <values>
          <value t="str">
            <val>大銀微系統</val>
          </value>
        </values>
      </ddeItem>
      <ddeItem name="4576.TW-PreTotalVolumeRate" advise="1">
        <values>
          <value>
            <val>0.45</val>
          </value>
        </values>
      </ddeItem>
      <ddeItem name="4576.TW-Price" advise="1">
        <values>
          <value>
            <val>98.4</val>
          </value>
        </values>
      </ddeItem>
      <ddeItem name="4576.TW-PriceChangeRatio" advise="1">
        <values>
          <value>
            <val>1.65</val>
          </value>
        </values>
      </ddeItem>
      <ddeItem name="4576.TW-Time" advise="1">
        <values>
          <value t="str">
            <val>10:08:35</val>
          </value>
        </values>
      </ddeItem>
      <ddeItem name="4576.TW-VolumeRatio" advise="1">
        <values>
          <value>
            <val>1.24</val>
          </value>
        </values>
      </ddeItem>
      <ddeItem name="4720.TW-5DayAvgVol" advise="1">
        <values>
          <value>
            <val>2052</val>
          </value>
        </values>
      </ddeItem>
      <ddeItem name="4720.TW-AvgPrice" advise="1">
        <values>
          <value>
            <val>14.67</val>
          </value>
        </values>
      </ddeItem>
      <ddeItem name="4720.TW-Capital" advise="1">
        <values>
          <value t="str">
            <val>9.79</val>
          </value>
        </values>
      </ddeItem>
      <ddeItem name="4720.TW-DLOrderValueDiffRatio" advise="1">
        <values>
          <value>
            <val>0</val>
          </value>
        </values>
      </ddeItem>
      <ddeItem name="4720.TW-DXLOrderOutValueRatio" advise="1">
        <values>
          <value>
            <val>0</val>
          </value>
        </values>
      </ddeItem>
      <ddeItem name="4720.TW-DXLOrderValueDiffRatio" advise="1">
        <values>
          <value>
            <val>0</val>
          </value>
        </values>
      </ddeItem>
      <ddeItem name="4720.TW-ExchangeIndustry" advise="1">
        <values>
          <value t="str">
            <val>上市化學生技醫療,上市化工</val>
          </value>
        </values>
      </ddeItem>
      <ddeItem name="4720.TW-ID" advise="1">
        <values>
          <value t="str">
            <val>4720</val>
          </value>
        </values>
      </ddeItem>
      <ddeItem name="4720.TW-InOutRatioNumber" advise="1">
        <values>
          <value t="str">
            <val>34.62%</val>
          </value>
        </values>
      </ddeItem>
      <ddeItem name="4720.TW-Name" advise="1">
        <values>
          <value t="str">
            <val>德淵</val>
          </value>
        </values>
      </ddeItem>
      <ddeItem name="4720.TW-PreTotalVolumeRate" advise="1">
        <values>
          <value>
            <val>0.17</val>
          </value>
        </values>
      </ddeItem>
      <ddeItem name="4720.TW-Price" advise="1">
        <values>
          <value>
            <val>14.8</val>
          </value>
        </values>
      </ddeItem>
      <ddeItem name="4720.TW-PriceChangeRatio" advise="1">
        <values>
          <value>
            <val>0</val>
          </value>
        </values>
      </ddeItem>
      <ddeItem name="4720.TW-Time" advise="1">
        <values>
          <value t="str">
            <val>10:14:59</val>
          </value>
        </values>
      </ddeItem>
      <ddeItem name="4720.TW-VolumeRatio" advise="1">
        <values>
          <value>
            <val>0.26</val>
          </value>
        </values>
      </ddeItem>
      <ddeItem name="4722.TW-5DayAvgVol" advise="1">
        <values>
          <value>
            <val>1678</val>
          </value>
        </values>
      </ddeItem>
      <ddeItem name="4722.TW-AvgPrice" advise="1">
        <values>
          <value>
            <val>40.07</val>
          </value>
        </values>
      </ddeItem>
      <ddeItem name="4722.TW-Capital" advise="1">
        <values>
          <value t="str">
            <val>10.00</val>
          </value>
        </values>
      </ddeItem>
      <ddeItem name="4722.TW-DLOrderValueDiffRatio" advise="1">
        <values>
          <value>
            <val>-4.8</val>
          </value>
        </values>
      </ddeItem>
      <ddeItem name="4722.TW-DXLOrderOutValueRatio" advise="1">
        <values>
          <value>
            <val>5.2</val>
          </value>
        </values>
      </ddeItem>
      <ddeItem name="4722.TW-DXLOrderValueDiffRatio" advise="1">
        <values>
          <value>
            <val>-18.04</val>
          </value>
        </values>
      </ddeItem>
      <ddeItem name="4722.TW-ExchangeIndustry" advise="1">
        <values>
          <value t="str">
            <val>上市化學生技醫療,上市化工</val>
          </value>
        </values>
      </ddeItem>
      <ddeItem name="4722.TW-ID" advise="1">
        <values>
          <value t="str">
            <val>4722</val>
          </value>
        </values>
      </ddeItem>
      <ddeItem name="4722.TW-InOutRatioNumber" advise="1">
        <values>
          <value t="str">
            <val>38.62%</val>
          </value>
        </values>
      </ddeItem>
      <ddeItem name="4722.TW-Name" advise="1">
        <values>
          <value t="str">
            <val>國精化</val>
          </value>
        </values>
      </ddeItem>
      <ddeItem name="4722.TW-PreTotalVolumeRate" advise="1">
        <values>
          <value>
            <val>0.4</val>
          </value>
        </values>
      </ddeItem>
      <ddeItem name="4722.TW-Price" advise="1">
        <values>
          <value>
            <val>40.549999999999997</val>
          </value>
        </values>
      </ddeItem>
      <ddeItem name="4722.TW-PriceChangeRatio" advise="1">
        <values>
          <value>
            <val>1.88</val>
          </value>
        </values>
      </ddeItem>
      <ddeItem name="4722.TW-Time" advise="1">
        <values>
          <value t="str">
            <val>10:14:11</val>
          </value>
        </values>
      </ddeItem>
      <ddeItem name="4722.TW-VolumeRatio" advise="1">
        <values>
          <value>
            <val>0.83</val>
          </value>
        </values>
      </ddeItem>
      <ddeItem name="4737.TW-5DayAvgVol" advise="1">
        <values>
          <value>
            <val>15</val>
          </value>
        </values>
      </ddeItem>
      <ddeItem name="4737.TW-AvgPrice" advise="1">
        <values>
          <value>
            <val>68</val>
          </value>
        </values>
      </ddeItem>
      <ddeItem name="4737.TW-Capital" advise="1">
        <values>
          <value t="str">
            <val>6.23</val>
          </value>
        </values>
      </ddeItem>
      <ddeItem name="4737.TW-DLOrderValueDiffRatio" advise="1">
        <values>
          <value>
            <val>0</val>
          </value>
        </values>
      </ddeItem>
      <ddeItem name="4737.TW-DXLOrderOutValueRatio" advise="1">
        <values>
          <value>
            <val>0</val>
          </value>
        </values>
      </ddeItem>
      <ddeItem name="4737.TW-DXLOrderValueDiffRatio" advise="1">
        <values>
          <value>
            <val>0</val>
          </value>
        </values>
      </ddeItem>
      <ddeItem name="4737.TW-ExchangeIndustry" advise="1">
        <values>
          <value t="str">
            <val>上市化學生技醫療,上市生技醫療</val>
          </value>
        </values>
      </ddeItem>
      <ddeItem name="4737.TW-ID" advise="1">
        <values>
          <value t="str">
            <val>4737</val>
          </value>
        </values>
      </ddeItem>
      <ddeItem name="4737.TW-InOutRatioNumber" advise="1">
        <values>
          <value t="str">
            <val>0.00%</val>
          </value>
        </values>
      </ddeItem>
      <ddeItem name="4737.TW-Name" advise="1">
        <values>
          <value t="str">
            <val>華廣</val>
          </value>
        </values>
      </ddeItem>
      <ddeItem name="4737.TW-PreTotalVolumeRate" advise="1">
        <values>
          <value>
            <val>0.04</val>
          </value>
        </values>
      </ddeItem>
      <ddeItem name="4737.TW-Price" advise="1">
        <values>
          <value>
            <val>68</val>
          </value>
        </values>
      </ddeItem>
      <ddeItem name="4737.TW-PriceChangeRatio" advise="1">
        <values>
          <value>
            <val>-0.28999999999999998</val>
          </value>
        </values>
      </ddeItem>
      <ddeItem name="4737.TW-Time" advise="1">
        <values>
          <value t="str">
            <val>09:54:21</val>
          </value>
        </values>
      </ddeItem>
      <ddeItem name="4737.TW-VolumeRatio" advise="1">
        <values>
          <value>
            <val>0</val>
          </value>
        </values>
      </ddeItem>
      <ddeItem name="4739.TW-5DayAvgVol" advise="1">
        <values>
          <value>
            <val>17575</val>
          </value>
        </values>
      </ddeItem>
      <ddeItem name="4739.TW-AvgPrice" advise="1">
        <values>
          <value>
            <val>123.56</val>
          </value>
        </values>
      </ddeItem>
      <ddeItem name="4739.TW-Capital" advise="1">
        <values>
          <value t="str">
            <val>10.30</val>
          </value>
        </values>
      </ddeItem>
      <ddeItem name="4739.TW-DLOrderValueDiffRatio" advise="1">
        <values>
          <value>
            <val>-0.28999999999999998</val>
          </value>
        </values>
      </ddeItem>
      <ddeItem name="4739.TW-DXLOrderOutValueRatio" advise="1">
        <values>
          <value>
            <val>17.55</val>
          </value>
        </values>
      </ddeItem>
      <ddeItem name="4739.TW-DXLOrderValueDiffRatio" advise="1">
        <values>
          <value>
            <val>-9.85</val>
          </value>
        </values>
      </ddeItem>
      <ddeItem name="4739.TW-ExchangeIndustry" advise="1">
        <values>
          <value t="str">
            <val>上市化學生技醫療,上市化工</val>
          </value>
        </values>
      </ddeItem>
      <ddeItem name="4739.TW-ID" advise="1">
        <values>
          <value t="str">
            <val>4739</val>
          </value>
        </values>
      </ddeItem>
      <ddeItem name="4739.TW-InOutRatioNumber" advise="1">
        <values>
          <value t="str">
            <val>43.73%</val>
          </value>
        </values>
      </ddeItem>
      <ddeItem name="4739.TW-Name" advise="1">
        <values>
          <value t="str">
            <val>康普</val>
          </value>
        </values>
      </ddeItem>
      <ddeItem name="4739.TW-PreTotalVolumeRate" advise="1">
        <values>
          <value>
            <val>0.43</val>
          </value>
        </values>
      </ddeItem>
      <ddeItem name="4739.TW-Price" advise="1">
        <values>
          <value>
            <val>124</val>
          </value>
        </values>
      </ddeItem>
      <ddeItem name="4739.TW-PriceChangeRatio" advise="1">
        <values>
          <value>
            <val>0.81</val>
          </value>
        </values>
      </ddeItem>
      <ddeItem name="4739.TW-Time" advise="1">
        <values>
          <value t="str">
            <val>10:14:36</val>
          </value>
        </values>
      </ddeItem>
      <ddeItem name="4739.TW-VolumeRatio" advise="1">
        <values>
          <value>
            <val>0.79</val>
          </value>
        </values>
      </ddeItem>
      <ddeItem name="4746.TW-5DayAvgVol" advise="1">
        <values>
          <value>
            <val>1030</val>
          </value>
        </values>
      </ddeItem>
      <ddeItem name="4746.TW-AvgPrice" advise="1">
        <values>
          <value>
            <val>58.97</val>
          </value>
        </values>
      </ddeItem>
      <ddeItem name="4746.TW-Capital" advise="1">
        <values>
          <value t="str">
            <val>12.03</val>
          </value>
        </values>
      </ddeItem>
      <ddeItem name="4746.TW-DLOrderValueDiffRatio" advise="1">
        <values>
          <value>
            <val>0</val>
          </value>
        </values>
      </ddeItem>
      <ddeItem name="4746.TW-DXLOrderOutValueRatio" advise="1">
        <values>
          <value>
            <val>0</val>
          </value>
        </values>
      </ddeItem>
      <ddeItem name="4746.TW-DXLOrderValueDiffRatio" advise="1">
        <values>
          <value>
            <val>-13.67</val>
          </value>
        </values>
      </ddeItem>
      <ddeItem name="4746.TW-ExchangeIndustry" advise="1">
        <values>
          <value t="str">
            <val>上市化學生技醫療,上市生技醫療</val>
          </value>
        </values>
      </ddeItem>
      <ddeItem name="4746.TW-ID" advise="1">
        <values>
          <value t="str">
            <val>4746</val>
          </value>
        </values>
      </ddeItem>
      <ddeItem name="4746.TW-InOutRatioNumber" advise="1">
        <values>
          <value t="str">
            <val>42.66%</val>
          </value>
        </values>
      </ddeItem>
      <ddeItem name="4746.TW-Name" advise="1">
        <values>
          <value t="str">
            <val>台耀</val>
          </value>
        </values>
      </ddeItem>
      <ddeItem name="4746.TW-PreTotalVolumeRate" advise="1">
        <values>
          <value>
            <val>0.28999999999999998</val>
          </value>
        </values>
      </ddeItem>
      <ddeItem name="4746.TW-Price" advise="1">
        <values>
          <value>
            <val>58.8</val>
          </value>
        </values>
      </ddeItem>
      <ddeItem name="4746.TW-PriceChangeRatio" advise="1">
        <values>
          <value>
            <val>-0.51</val>
          </value>
        </values>
      </ddeItem>
      <ddeItem name="4746.TW-Time" advise="1">
        <values>
          <value t="str">
            <val>10:13:42</val>
          </value>
        </values>
      </ddeItem>
      <ddeItem name="4746.TW-VolumeRatio" advise="1">
        <values>
          <value>
            <val>0.67</val>
          </value>
        </values>
      </ddeItem>
      <ddeItem name="4755.TW-5DayAvgVol" advise="1">
        <values>
          <value>
            <val>241</val>
          </value>
        </values>
      </ddeItem>
      <ddeItem name="4755.TW-AvgPrice" advise="1">
        <values>
          <value>
            <val>70.319999999999993</val>
          </value>
        </values>
      </ddeItem>
      <ddeItem name="4755.TW-Capital" advise="1">
        <values>
          <value t="str">
            <val>10.07</val>
          </value>
        </values>
      </ddeItem>
      <ddeItem name="4755.TW-DLOrderValueDiffRatio" advise="1">
        <values>
          <value>
            <val>-3.1</val>
          </value>
        </values>
      </ddeItem>
      <ddeItem name="4755.TW-DXLOrderOutValueRatio" advise="1">
        <values>
          <value>
            <val>0</val>
          </value>
        </values>
      </ddeItem>
      <ddeItem name="4755.TW-DXLOrderValueDiffRatio" advise="1">
        <values>
          <value>
            <val>0</val>
          </value>
        </values>
      </ddeItem>
      <ddeItem name="4755.TW-ExchangeIndustry" advise="1">
        <values>
          <value t="str">
            <val>上市化學生技醫療,上市化工</val>
          </value>
        </values>
      </ddeItem>
      <ddeItem name="4755.TW-ID" advise="1">
        <values>
          <value t="str">
            <val>4755</val>
          </value>
        </values>
      </ddeItem>
      <ddeItem name="4755.TW-InOutRatioNumber" advise="1">
        <values>
          <value t="str">
            <val>69.49%</val>
          </value>
        </values>
      </ddeItem>
      <ddeItem name="4755.TW-Name" advise="1">
        <values>
          <value t="str">
            <val>三福化</val>
          </value>
        </values>
      </ddeItem>
      <ddeItem name="4755.TW-PreTotalVolumeRate" advise="1">
        <values>
          <value>
            <val>0.59</val>
          </value>
        </values>
      </ddeItem>
      <ddeItem name="4755.TW-Price" advise="1">
        <values>
          <value>
            <val>70.599999999999994</val>
          </value>
        </values>
      </ddeItem>
      <ddeItem name="4755.TW-PriceChangeRatio" advise="1">
        <values>
          <value>
            <val>2.62</val>
          </value>
        </values>
      </ddeItem>
      <ddeItem name="4755.TW-Time" advise="1">
        <values>
          <value t="str">
            <val>10:11:40</val>
          </value>
        </values>
      </ddeItem>
      <ddeItem name="4755.TW-VolumeRatio" advise="1">
        <values>
          <value>
            <val>0.97</val>
          </value>
        </values>
      </ddeItem>
      <ddeItem name="4763.TW-5DayAvgVol" advise="1">
        <values>
          <value>
            <val>69</val>
          </value>
        </values>
      </ddeItem>
      <ddeItem name="4763.TW-AvgPrice" advise="1">
        <values>
          <value>
            <val>98.63</val>
          </value>
        </values>
      </ddeItem>
      <ddeItem name="4763.TW-Capital" advise="1">
        <values>
          <value t="str">
            <val>5.86</val>
          </value>
        </values>
      </ddeItem>
      <ddeItem name="4763.TW-DLOrderValueDiffRatio" advise="1">
        <values>
          <value>
            <val>0</val>
          </value>
        </values>
      </ddeItem>
      <ddeItem name="4763.TW-DXLOrderOutValueRatio" advise="1">
        <values>
          <value>
            <val>0</val>
          </value>
        </values>
      </ddeItem>
      <ddeItem name="4763.TW-DXLOrderValueDiffRatio" advise="1">
        <values>
          <value>
            <val>0</val>
          </value>
        </values>
      </ddeItem>
      <ddeItem name="4763.TW-ExchangeIndustry" advise="1">
        <values>
          <value t="str">
            <val>上市化學生技醫療,上市化工</val>
          </value>
        </values>
      </ddeItem>
      <ddeItem name="4763.TW-ID" advise="1">
        <values>
          <value t="str">
            <val>4763</val>
          </value>
        </values>
      </ddeItem>
      <ddeItem name="4763.TW-InOutRatioNumber" advise="1">
        <values>
          <value t="str">
            <val>30.00%</val>
          </value>
        </values>
      </ddeItem>
      <ddeItem name="4763.TW-Name" advise="1">
        <values>
          <value t="str">
            <val>材料-KY</val>
          </value>
        </values>
      </ddeItem>
      <ddeItem name="4763.TW-PreTotalVolumeRate" advise="1">
        <values>
          <value>
            <val>0.19</val>
          </value>
        </values>
      </ddeItem>
      <ddeItem name="4763.TW-Price" advise="1">
        <values>
          <value>
            <val>99</val>
          </value>
        </values>
      </ddeItem>
      <ddeItem name="4763.TW-PriceChangeRatio" advise="1">
        <values>
          <value>
            <val>0.41</val>
          </value>
        </values>
      </ddeItem>
      <ddeItem name="4763.TW-Time" advise="1">
        <values>
          <value t="str">
            <val>09:52:31</val>
          </value>
        </values>
      </ddeItem>
      <ddeItem name="4763.TW-VolumeRatio" advise="1">
        <values>
          <value>
            <val>0.54</val>
          </value>
        </values>
      </ddeItem>
      <ddeItem name="4764.TW-5DayAvgVol" advise="1">
        <values>
          <value>
            <val>8</val>
          </value>
        </values>
      </ddeItem>
      <ddeItem name="4764.TW-AvgPrice" advise="1">
        <values>
          <value>
            <val>53.7</val>
          </value>
        </values>
      </ddeItem>
      <ddeItem name="4764.TW-Capital" advise="1">
        <values>
          <value t="str">
            <val>8.07</val>
          </value>
        </values>
      </ddeItem>
      <ddeItem name="4764.TW-DLOrderValueDiffRatio" advise="1">
        <values>
          <value>
            <val>0</val>
          </value>
        </values>
      </ddeItem>
      <ddeItem name="4764.TW-DXLOrderOutValueRatio" advise="1">
        <values>
          <value>
            <val>0</val>
          </value>
        </values>
      </ddeItem>
      <ddeItem name="4764.TW-DXLOrderValueDiffRatio" advise="1">
        <values>
          <value>
            <val>0</val>
          </value>
        </values>
      </ddeItem>
      <ddeItem name="4764.TW-ExchangeIndustry" advise="1">
        <values>
          <value t="str">
            <val>上市化學生技醫療,上市化工</val>
          </value>
        </values>
      </ddeItem>
      <ddeItem name="4764.TW-ID" advise="1">
        <values>
          <value t="str">
            <val>4764</val>
          </value>
        </values>
      </ddeItem>
      <ddeItem name="4764.TW-InOutRatioNumber" advise="1">
        <values>
          <value t="str">
            <val>100.00%</val>
          </value>
        </values>
      </ddeItem>
      <ddeItem name="4764.TW-Name" advise="1">
        <values>
          <value t="str">
            <val>雙鍵</val>
          </value>
        </values>
      </ddeItem>
      <ddeItem name="4764.TW-PreTotalVolumeRate" advise="1">
        <values>
          <value>
            <val>0.08</val>
          </value>
        </values>
      </ddeItem>
      <ddeItem name="4764.TW-Price" advise="1">
        <values>
          <value>
            <val>53.7</val>
          </value>
        </values>
      </ddeItem>
      <ddeItem name="4764.TW-PriceChangeRatio" advise="1">
        <values>
          <value>
            <val>0.37</val>
          </value>
        </values>
      </ddeItem>
      <ddeItem name="4764.TW-Time" advise="1">
        <values>
          <value t="str">
            <val>09:00:52</val>
          </value>
        </values>
      </ddeItem>
      <ddeItem name="4764.TW-VolumeRatio" advise="1">
        <values>
          <value>
            <val>0</val>
          </value>
        </values>
      </ddeItem>
      <ddeItem name="4766.TW-5DayAvgVol" advise="1">
        <values>
          <value>
            <val>29</val>
          </value>
        </values>
      </ddeItem>
      <ddeItem name="4766.TW-AvgPrice" advise="1">
        <values>
          <value>
            <val>137.5</val>
          </value>
        </values>
      </ddeItem>
      <ddeItem name="4766.TW-Capital" advise="1">
        <values>
          <value t="str">
            <val>12.06</val>
          </value>
        </values>
      </ddeItem>
      <ddeItem name="4766.TW-DLOrderValueDiffRatio" advise="1">
        <values>
          <value>
            <val>0</val>
          </value>
        </values>
      </ddeItem>
      <ddeItem name="4766.TW-DXLOrderOutValueRatio" advise="1">
        <values>
          <value>
            <val>0</val>
          </value>
        </values>
      </ddeItem>
      <ddeItem name="4766.TW-DXLOrderValueDiffRatio" advise="1">
        <values>
          <value>
            <val>0</val>
          </value>
        </values>
      </ddeItem>
      <ddeItem name="4766.TW-ExchangeIndustry" advise="1">
        <values>
          <value t="str">
            <val>上市化學生技醫療,上市化工</val>
          </value>
        </values>
      </ddeItem>
      <ddeItem name="4766.TW-ID" advise="1">
        <values>
          <value t="str">
            <val>4766</val>
          </value>
        </values>
      </ddeItem>
      <ddeItem name="4766.TW-InOutRatioNumber" advise="1">
        <values>
          <value t="str">
            <val>100.00%</val>
          </value>
        </values>
      </ddeItem>
      <ddeItem name="4766.TW-Name" advise="1">
        <values>
          <value t="str">
            <val>南寶</val>
          </value>
        </values>
      </ddeItem>
      <ddeItem name="4766.TW-PreTotalVolumeRate" advise="1">
        <values>
          <value>
            <val>0.03</val>
          </value>
        </values>
      </ddeItem>
      <ddeItem name="4766.TW-Price" advise="1">
        <values>
          <value>
            <val>137.5</val>
          </value>
        </values>
      </ddeItem>
      <ddeItem name="4766.TW-PriceChangeRatio" advise="1">
        <values>
          <value>
            <val>0.73</val>
          </value>
        </values>
      </ddeItem>
      <ddeItem name="4766.TW-Time" advise="1">
        <values>
          <value t="str">
            <val>09:06:08</val>
          </value>
        </values>
      </ddeItem>
      <ddeItem name="4766.TW-VolumeRatio" advise="1">
        <values>
          <value>
            <val>0</val>
          </value>
        </values>
      </ddeItem>
      <ddeItem name="4930.TW-5DayAvgVol" advise="1">
        <values>
          <value>
            <val>306</val>
          </value>
        </values>
      </ddeItem>
      <ddeItem name="4930.TW-AvgPrice" advise="1">
        <values>
          <value>
            <val>20.77</val>
          </value>
        </values>
      </ddeItem>
      <ddeItem name="4930.TW-Capital" advise="1">
        <values>
          <value t="str">
            <val>13.43</val>
          </value>
        </values>
      </ddeItem>
      <ddeItem name="4930.TW-DLOrderValueDiffRatio" advise="1">
        <values>
          <value>
            <val>0</val>
          </value>
        </values>
      </ddeItem>
      <ddeItem name="4930.TW-DXLOrderOutValueRatio" advise="1">
        <values>
          <value>
            <val>0</val>
          </value>
        </values>
      </ddeItem>
      <ddeItem name="4930.TW-DXLOrderValueDiffRatio" advise="1">
        <values>
          <value>
            <val>0</val>
          </value>
        </values>
      </ddeItem>
      <ddeItem name="4930.TW-ExchangeIndustry" advise="1">
        <values>
          <value t="str">
            <val>上市電器電纜</val>
          </value>
        </values>
      </ddeItem>
      <ddeItem name="4930.TW-ID" advise="1">
        <values>
          <value t="str">
            <val>4930</val>
          </value>
        </values>
      </ddeItem>
      <ddeItem name="4930.TW-InOutRatioNumber" advise="1">
        <values>
          <value t="str">
            <val>40.00%</val>
          </value>
        </values>
      </ddeItem>
      <ddeItem name="4930.TW-Name" advise="1">
        <values>
          <value t="str">
            <val>燦星網</val>
          </value>
        </values>
      </ddeItem>
      <ddeItem name="4930.TW-PreTotalVolumeRate" advise="1">
        <values>
          <value>
            <val>0.31</val>
          </value>
        </values>
      </ddeItem>
      <ddeItem name="4930.TW-Price" advise="1">
        <values>
          <value>
            <val>20.7</val>
          </value>
        </values>
      </ddeItem>
      <ddeItem name="4930.TW-PriceChangeRatio" advise="1">
        <values>
          <value>
            <val>-0.48</val>
          </value>
        </values>
      </ddeItem>
      <ddeItem name="4930.TW-Time" advise="1">
        <values>
          <value t="str">
            <val>10:12:18</val>
          </value>
        </values>
      </ddeItem>
      <ddeItem name="4930.TW-VolumeRatio" advise="1">
        <values>
          <value>
            <val>1.03</val>
          </value>
        </values>
      </ddeItem>
      <ddeItem name="5007.TW-5DayAvgVol" advise="1">
        <values>
          <value>
            <val>32</val>
          </value>
        </values>
      </ddeItem>
      <ddeItem name="5007.TW-AvgPrice" advise="1">
        <values>
          <value t="str">
            <val>--</val>
          </value>
        </values>
      </ddeItem>
      <ddeItem name="5007.TW-Capital" advise="1">
        <values>
          <value t="str">
            <val>29.49</val>
          </value>
        </values>
      </ddeItem>
      <ddeItem name="5007.TW-DLOrderValueDiffRatio" advise="1">
        <values>
          <value>
            <val>0</val>
          </value>
        </values>
      </ddeItem>
      <ddeItem name="5007.TW-DXLOrderOutValueRatio" advise="1">
        <values>
          <value>
            <val>0</val>
          </value>
        </values>
      </ddeItem>
      <ddeItem name="5007.TW-DXLOrderValueDiffRatio" advise="1">
        <values>
          <value>
            <val>0</val>
          </value>
        </values>
      </ddeItem>
      <ddeItem name="5007.TW-ExchangeIndustry" advise="1">
        <values>
          <value t="str">
            <val>上市鋼鐵</val>
          </value>
        </values>
      </ddeItem>
      <ddeItem name="5007.TW-ID" advise="1">
        <values>
          <value t="str">
            <val>5007</val>
          </value>
        </values>
      </ddeItem>
      <ddeItem name="5007.TW-InOutRatioNumber" advise="1">
        <values>
          <value t="str">
            <val>--</val>
          </value>
        </values>
      </ddeItem>
      <ddeItem name="5007.TW-Name" advise="1">
        <values>
          <value t="str">
            <val>三星</val>
          </value>
        </values>
      </ddeItem>
      <ddeItem name="5007.TW-PreTotalVolumeRate" advise="1">
        <values>
          <value>
            <val>0</val>
          </value>
        </values>
      </ddeItem>
      <ddeItem name="5007.TW-Price" advise="1">
        <values>
          <value t="str">
            <val>--</val>
          </value>
        </values>
      </ddeItem>
      <ddeItem name="5007.TW-PriceChangeRatio" advise="1">
        <values>
          <value t="str">
            <val>--</val>
          </value>
        </values>
      </ddeItem>
      <ddeItem name="5007.TW-Time" advise="1">
        <values>
          <value t="str">
            <val>--</val>
          </value>
        </values>
      </ddeItem>
      <ddeItem name="5007.TW-VolumeRatio" advise="1">
        <values>
          <value>
            <val>0</val>
          </value>
        </values>
      </ddeItem>
      <ddeItem name="5283.TW-5DayAvgVol" advise="1">
        <values>
          <value>
            <val>81</val>
          </value>
        </values>
      </ddeItem>
      <ddeItem name="5283.TW-AvgPrice" advise="1">
        <values>
          <value>
            <val>110.22</val>
          </value>
        </values>
      </ddeItem>
      <ddeItem name="5283.TW-Capital" advise="1">
        <values>
          <value t="str">
            <val>7.30</val>
          </value>
        </values>
      </ddeItem>
      <ddeItem name="5283.TW-DLOrderValueDiffRatio" advise="1">
        <values>
          <value>
            <val>0</val>
          </value>
        </values>
      </ddeItem>
      <ddeItem name="5283.TW-DXLOrderOutValueRatio" advise="1">
        <values>
          <value>
            <val>0</val>
          </value>
        </values>
      </ddeItem>
      <ddeItem name="5283.TW-DXLOrderValueDiffRatio" advise="1">
        <values>
          <value>
            <val>0</val>
          </value>
        </values>
      </ddeItem>
      <ddeItem name="5283.TW-ExchangeIndustry" advise="1">
        <values>
          <value t="str">
            <val>上市電器電纜</val>
          </value>
        </values>
      </ddeItem>
      <ddeItem name="5283.TW-ID" advise="1">
        <values>
          <value t="str">
            <val>5283</val>
          </value>
        </values>
      </ddeItem>
      <ddeItem name="5283.TW-InOutRatioNumber" advise="1">
        <values>
          <value t="str">
            <val>46.67%</val>
          </value>
        </values>
      </ddeItem>
      <ddeItem name="5283.TW-Name" advise="1">
        <values>
          <value t="str">
            <val>禾聯碩</val>
          </value>
        </values>
      </ddeItem>
      <ddeItem name="5283.TW-PreTotalVolumeRate" advise="1">
        <values>
          <value>
            <val>0.42</val>
          </value>
        </values>
      </ddeItem>
      <ddeItem name="5283.TW-Price" advise="1">
        <values>
          <value>
            <val>110.5</val>
          </value>
        </values>
      </ddeItem>
      <ddeItem name="5283.TW-PriceChangeRatio" advise="1">
        <values>
          <value>
            <val>0</val>
          </value>
        </values>
      </ddeItem>
      <ddeItem name="5283.TW-Time" advise="1">
        <values>
          <value t="str">
            <val>10:10:23</val>
          </value>
        </values>
      </ddeItem>
      <ddeItem name="5283.TW-VolumeRatio" advise="1">
        <values>
          <value>
            <val>1.2</val>
          </value>
        </values>
      </ddeItem>
      <ddeItem name="5288.TW-5DayAvgVol" advise="1">
        <values>
          <value>
            <val>90</val>
          </value>
        </values>
      </ddeItem>
      <ddeItem name="5288.TW-AvgPrice" advise="1">
        <values>
          <value>
            <val>141.88</val>
          </value>
        </values>
      </ddeItem>
      <ddeItem name="5288.TW-Capital" advise="1">
        <values>
          <value t="str">
            <val>6.58</val>
          </value>
        </values>
      </ddeItem>
      <ddeItem name="5288.TW-DLOrderValueDiffRatio" advise="1">
        <values>
          <value>
            <val>0</val>
          </value>
        </values>
      </ddeItem>
      <ddeItem name="5288.TW-DXLOrderOutValueRatio" advise="1">
        <values>
          <value>
            <val>0</val>
          </value>
        </values>
      </ddeItem>
      <ddeItem name="5288.TW-DXLOrderValueDiffRatio" advise="1">
        <values>
          <value>
            <val>0</val>
          </value>
        </values>
      </ddeItem>
      <ddeItem name="5288.TW-ExchangeIndustry" advise="1">
        <values>
          <value t="str">
            <val>上市電機機械</val>
          </value>
        </values>
      </ddeItem>
      <ddeItem name="5288.TW-ID" advise="1">
        <values>
          <value t="str">
            <val>5288</val>
          </value>
        </values>
      </ddeItem>
      <ddeItem name="5288.TW-InOutRatioNumber" advise="1">
        <values>
          <value t="str">
            <val>41.67%</val>
          </value>
        </values>
      </ddeItem>
      <ddeItem name="5288.TW-Name" advise="1">
        <values>
          <value t="str">
            <val>豐祥-KY</val>
          </value>
        </values>
      </ddeItem>
      <ddeItem name="5288.TW-PreTotalVolumeRate" advise="1">
        <values>
          <value>
            <val>0.16</val>
          </value>
        </values>
      </ddeItem>
      <ddeItem name="5288.TW-Price" advise="1">
        <values>
          <value>
            <val>142.5</val>
          </value>
        </values>
      </ddeItem>
      <ddeItem name="5288.TW-PriceChangeRatio" advise="1">
        <values>
          <value>
            <val>0.35</val>
          </value>
        </values>
      </ddeItem>
      <ddeItem name="5288.TW-Time" advise="1">
        <values>
          <value t="str">
            <val>10:11:31</val>
          </value>
        </values>
      </ddeItem>
      <ddeItem name="5288.TW-VolumeRatio" advise="1">
        <values>
          <value>
            <val>0.55000000000000004</val>
          </value>
        </values>
      </ddeItem>
      <ddeItem name="5538.TW-5DayAvgVol" advise="1">
        <values>
          <value>
            <val>75</val>
          </value>
        </values>
      </ddeItem>
      <ddeItem name="5538.TW-AvgPrice" advise="1">
        <values>
          <value>
            <val>40.549999999999997</val>
          </value>
        </values>
      </ddeItem>
      <ddeItem name="5538.TW-Capital" advise="1">
        <values>
          <value t="str">
            <val>20.12</val>
          </value>
        </values>
      </ddeItem>
      <ddeItem name="5538.TW-DLOrderValueDiffRatio" advise="1">
        <values>
          <value>
            <val>0</val>
          </value>
        </values>
      </ddeItem>
      <ddeItem name="5538.TW-DXLOrderOutValueRatio" advise="1">
        <values>
          <value>
            <val>0</val>
          </value>
        </values>
      </ddeItem>
      <ddeItem name="5538.TW-DXLOrderValueDiffRatio" advise="1">
        <values>
          <value>
            <val>0</val>
          </value>
        </values>
      </ddeItem>
      <ddeItem name="5538.TW-ExchangeIndustry" advise="1">
        <values>
          <value t="str">
            <val>上市鋼鐵</val>
          </value>
        </values>
      </ddeItem>
      <ddeItem name="5538.TW-ID" advise="1">
        <values>
          <value t="str">
            <val>5538</val>
          </value>
        </values>
      </ddeItem>
      <ddeItem name="5538.TW-InOutRatioNumber" advise="1">
        <values>
          <value t="str">
            <val>12.50%</val>
          </value>
        </values>
      </ddeItem>
      <ddeItem name="5538.TW-Name" advise="1">
        <values>
          <value t="str">
            <val>東明-KY</val>
          </value>
        </values>
      </ddeItem>
      <ddeItem name="5538.TW-PreTotalVolumeRate" advise="1">
        <values>
          <value>
            <val>0.59</val>
          </value>
        </values>
      </ddeItem>
      <ddeItem name="5538.TW-Price" advise="1">
        <values>
          <value>
            <val>40.5</val>
          </value>
        </values>
      </ddeItem>
      <ddeItem name="5538.TW-PriceChangeRatio" advise="1">
        <values>
          <value>
            <val>-0.49</val>
          </value>
        </values>
      </ddeItem>
      <ddeItem name="5538.TW-Time" advise="1">
        <values>
          <value t="str">
            <val>10:12:26</val>
          </value>
        </values>
      </ddeItem>
      <ddeItem name="5538.TW-VolumeRatio" advise="1">
        <values>
          <value>
            <val>1.56</val>
          </value>
        </values>
      </ddeItem>
      <ddeItem name="6491.TW-5DayAvgVol" advise="1">
        <values>
          <value>
            <val>680</val>
          </value>
        </values>
      </ddeItem>
      <ddeItem name="6491.TW-AvgPrice" advise="1">
        <values>
          <value>
            <val>527.92999999999995</val>
          </value>
        </values>
      </ddeItem>
      <ddeItem name="6491.TW-Capital" advise="1">
        <values>
          <value t="str">
            <val>7.00</val>
          </value>
        </values>
      </ddeItem>
      <ddeItem name="6491.TW-DLOrderValueDiffRatio" advise="1">
        <values>
          <value>
            <val>-7.34</val>
          </value>
        </values>
      </ddeItem>
      <ddeItem name="6491.TW-DXLOrderOutValueRatio" advise="1">
        <values>
          <value>
            <val>0</val>
          </value>
        </values>
      </ddeItem>
      <ddeItem name="6491.TW-DXLOrderValueDiffRatio" advise="1">
        <values>
          <value>
            <val>-5.66</val>
          </value>
        </values>
      </ddeItem>
      <ddeItem name="6491.TW-ExchangeIndustry" advise="1">
        <values>
          <value t="str">
            <val>上市化學生技醫療,上市生技醫療</val>
          </value>
        </values>
      </ddeItem>
      <ddeItem name="6491.TW-ID" advise="1">
        <values>
          <value t="str">
            <val>6491</val>
          </value>
        </values>
      </ddeItem>
      <ddeItem name="6491.TW-InOutRatioNumber" advise="1">
        <values>
          <value t="str">
            <val>39.15%</val>
          </value>
        </values>
      </ddeItem>
      <ddeItem name="6491.TW-Name" advise="1">
        <values>
          <value t="str">
            <val>晶碩</val>
          </value>
        </values>
      </ddeItem>
      <ddeItem name="6491.TW-PreTotalVolumeRate" advise="1">
        <values>
          <value>
            <val>0.32</val>
          </value>
        </values>
      </ddeItem>
      <ddeItem name="6491.TW-Price" advise="1">
        <values>
          <value>
            <val>525</val>
          </value>
        </values>
      </ddeItem>
      <ddeItem name="6491.TW-PriceChangeRatio" advise="1">
        <values>
          <value>
            <val>-2.96</val>
          </value>
        </values>
      </ddeItem>
      <ddeItem name="6491.TW-Time" advise="1">
        <values>
          <value t="str">
            <val>10:14:45</val>
          </value>
        </values>
      </ddeItem>
      <ddeItem name="6491.TW-VolumeRatio" advise="1">
        <values>
          <value>
            <val>0.65</val>
          </value>
        </values>
      </ddeItem>
      <ddeItem name="6541.TW-5DayAvgVol" advise="1">
        <values>
          <value>
            <val>381</val>
          </value>
        </values>
      </ddeItem>
      <ddeItem name="6541.TW-AvgPrice" advise="1">
        <values>
          <value>
            <val>46.55</val>
          </value>
        </values>
      </ddeItem>
      <ddeItem name="6541.TW-Capital" advise="1">
        <values>
          <value t="str">
            <val>35.24</val>
          </value>
        </values>
      </ddeItem>
      <ddeItem name="6541.TW-DLOrderValueDiffRatio" advise="1">
        <values>
          <value>
            <val>6.68</val>
          </value>
        </values>
      </ddeItem>
      <ddeItem name="6541.TW-DXLOrderOutValueRatio" advise="1">
        <values>
          <value>
            <val>23.94</val>
          </value>
        </values>
      </ddeItem>
      <ddeItem name="6541.TW-DXLOrderValueDiffRatio" advise="1">
        <values>
          <value>
            <val>23.94</val>
          </value>
        </values>
      </ddeItem>
      <ddeItem name="6541.TW-ExchangeIndustry" advise="1">
        <values>
          <value t="str">
            <val>上市化學生技醫療,上市生技醫療</val>
          </value>
        </values>
      </ddeItem>
      <ddeItem name="6541.TW-ID" advise="1">
        <values>
          <value t="str">
            <val>6541</val>
          </value>
        </values>
      </ddeItem>
      <ddeItem name="6541.TW-InOutRatioNumber" advise="1">
        <values>
          <value t="str">
            <val>100.00%</val>
          </value>
        </values>
      </ddeItem>
      <ddeItem name="6541.TW-Name" advise="1">
        <values>
          <value t="str">
            <val>泰福-KY</val>
          </value>
        </values>
      </ddeItem>
      <ddeItem name="6541.TW-PreTotalVolumeRate" advise="1">
        <values>
          <value>
            <val>2.74</val>
          </value>
        </values>
      </ddeItem>
      <ddeItem name="6541.TW-Price" advise="1">
        <values>
          <value>
            <val>46.55</val>
          </value>
        </values>
      </ddeItem>
      <ddeItem name="6541.TW-PriceChangeRatio" advise="1">
        <values>
          <value>
            <val>9.92</val>
          </value>
        </values>
      </ddeItem>
      <ddeItem name="6541.TW-Time" advise="1">
        <values>
          <value t="str">
            <val>10:14:16</val>
          </value>
        </values>
      </ddeItem>
      <ddeItem name="6541.TW-VolumeRatio" advise="1">
        <values>
          <value>
            <val>5.46</val>
          </value>
        </values>
      </ddeItem>
      <ddeItem name="6582.TW-5DayAvgVol" advise="1">
        <values>
          <value>
            <val>222</val>
          </value>
        </values>
      </ddeItem>
      <ddeItem name="6582.TW-AvgPrice" advise="1">
        <values>
          <value>
            <val>179.03</val>
          </value>
        </values>
      </ddeItem>
      <ddeItem name="6582.TW-Capital" advise="1">
        <values>
          <value t="str">
            <val>10.62</val>
          </value>
        </values>
      </ddeItem>
      <ddeItem name="6582.TW-DLOrderValueDiffRatio" advise="1">
        <values>
          <value>
            <val>0</val>
          </value>
        </values>
      </ddeItem>
      <ddeItem name="6582.TW-DXLOrderOutValueRatio" advise="1">
        <values>
          <value>
            <val>0</val>
          </value>
        </values>
      </ddeItem>
      <ddeItem name="6582.TW-DXLOrderValueDiffRatio" advise="1">
        <values>
          <value>
            <val>0</val>
          </value>
        </values>
      </ddeItem>
      <ddeItem name="6582.TW-ExchangeIndustry" advise="1">
        <values>
          <value t="str">
            <val>上市橡膠</val>
          </value>
        </values>
      </ddeItem>
      <ddeItem name="6582.TW-ID" advise="1">
        <values>
          <value t="str">
            <val>6582</val>
          </value>
        </values>
      </ddeItem>
      <ddeItem name="6582.TW-InOutRatioNumber" advise="1">
        <values>
          <value t="str">
            <val>25.00%</val>
          </value>
        </values>
      </ddeItem>
      <ddeItem name="6582.TW-Name" advise="1">
        <values>
          <value t="str">
            <val>申豐</val>
          </value>
        </values>
      </ddeItem>
      <ddeItem name="6582.TW-PreTotalVolumeRate" advise="1">
        <values>
          <value>
            <val>7.0000000000000007E-2</val>
          </value>
        </values>
      </ddeItem>
      <ddeItem name="6582.TW-Price" advise="1">
        <values>
          <value>
            <val>178.5</val>
          </value>
        </values>
      </ddeItem>
      <ddeItem name="6582.TW-PriceChangeRatio" advise="1">
        <values>
          <value>
            <val>0</val>
          </value>
        </values>
      </ddeItem>
      <ddeItem name="6582.TW-Time" advise="1">
        <values>
          <value t="str">
            <val>10:06:30</val>
          </value>
        </values>
      </ddeItem>
      <ddeItem name="6582.TW-VolumeRatio" advise="1">
        <values>
          <value>
            <val>0.15</val>
          </value>
        </values>
      </ddeItem>
      <ddeItem name="6598.TW-5DayAvgVol" advise="1">
        <values>
          <value>
            <val>99</val>
          </value>
        </values>
      </ddeItem>
      <ddeItem name="6598.TW-AvgPrice" advise="1">
        <values>
          <value>
            <val>32.22</val>
          </value>
        </values>
      </ddeItem>
      <ddeItem name="6598.TW-Capital" advise="1">
        <values>
          <value t="str">
            <val>8.18</val>
          </value>
        </values>
      </ddeItem>
      <ddeItem name="6598.TW-DLOrderValueDiffRatio" advise="1">
        <values>
          <value>
            <val>0</val>
          </value>
        </values>
      </ddeItem>
      <ddeItem name="6598.TW-DXLOrderOutValueRatio" advise="1">
        <values>
          <value>
            <val>0</val>
          </value>
        </values>
      </ddeItem>
      <ddeItem name="6598.TW-DXLOrderValueDiffRatio" advise="1">
        <values>
          <value>
            <val>0</val>
          </value>
        </values>
      </ddeItem>
      <ddeItem name="6598.TW-ExchangeIndustry" advise="1">
        <values>
          <value t="str">
            <val>上市化學生技醫療,上市生技醫療</val>
          </value>
        </values>
      </ddeItem>
      <ddeItem name="6598.TW-ID" advise="1">
        <values>
          <value t="str">
            <val>6598</val>
          </value>
        </values>
      </ddeItem>
      <ddeItem name="6598.TW-InOutRatioNumber" advise="1">
        <values>
          <value t="str">
            <val>25.93%</val>
          </value>
        </values>
      </ddeItem>
      <ddeItem name="6598.TW-Name" advise="1">
        <values>
          <value t="str">
            <val>ABC-KY</val>
          </value>
        </values>
      </ddeItem>
      <ddeItem name="6598.TW-PreTotalVolumeRate" advise="1">
        <values>
          <value>
            <val>0.54</val>
          </value>
        </values>
      </ddeItem>
      <ddeItem name="6598.TW-Price" advise="1">
        <values>
          <value>
            <val>31.7</val>
          </value>
        </values>
      </ddeItem>
      <ddeItem name="6598.TW-PriceChangeRatio" advise="1">
        <values>
          <value>
            <val>-0.63</val>
          </value>
        </values>
      </ddeItem>
      <ddeItem name="6598.TW-Time" advise="1">
        <values>
          <value t="str">
            <val>10:07:43</val>
          </value>
        </values>
      </ddeItem>
      <ddeItem name="6598.TW-VolumeRatio" advise="1">
        <values>
          <value>
            <val>1.54</val>
          </value>
        </values>
      </ddeItem>
      <ddeItem name="6666.TW-5DayAvgVol" advise="1">
        <values>
          <value>
            <val>23</val>
          </value>
        </values>
      </ddeItem>
      <ddeItem name="6666.TW-AvgPrice" advise="1">
        <values>
          <value>
            <val>64.12</val>
          </value>
        </values>
      </ddeItem>
      <ddeItem name="6666.TW-Capital" advise="1">
        <values>
          <value t="str">
            <val>4.74</val>
          </value>
        </values>
      </ddeItem>
      <ddeItem name="6666.TW-DLOrderValueDiffRatio" advise="1">
        <values>
          <value>
            <val>0</val>
          </value>
        </values>
      </ddeItem>
      <ddeItem name="6666.TW-DXLOrderOutValueRatio" advise="1">
        <values>
          <value>
            <val>0</val>
          </value>
        </values>
      </ddeItem>
      <ddeItem name="6666.TW-DXLOrderValueDiffRatio" advise="1">
        <values>
          <value>
            <val>0</val>
          </value>
        </values>
      </ddeItem>
      <ddeItem name="6666.TW-ExchangeIndustry" advise="1">
        <values>
          <value t="str">
            <val>上市化學生技醫療,上市生技醫療</val>
          </value>
        </values>
      </ddeItem>
      <ddeItem name="6666.TW-ID" advise="1">
        <values>
          <value t="str">
            <val>6666</val>
          </value>
        </values>
      </ddeItem>
      <ddeItem name="6666.TW-InOutRatioNumber" advise="1">
        <values>
          <value t="str">
            <val>25.00%</val>
          </value>
        </values>
      </ddeItem>
      <ddeItem name="6666.TW-Name" advise="1">
        <values>
          <value t="str">
            <val>羅麗芬-KY</val>
          </value>
        </values>
      </ddeItem>
      <ddeItem name="6666.TW-PreTotalVolumeRate" advise="1">
        <values>
          <value>
            <val>0.41</val>
          </value>
        </values>
      </ddeItem>
      <ddeItem name="6666.TW-Price" advise="1">
        <values>
          <value>
            <val>64.2</val>
          </value>
        </values>
      </ddeItem>
      <ddeItem name="6666.TW-PriceChangeRatio" advise="1">
        <values>
          <value>
            <val>-1.98</val>
          </value>
        </values>
      </ddeItem>
      <ddeItem name="6666.TW-Time" advise="1">
        <values>
          <value t="str">
            <val>10:06:10</val>
          </value>
        </values>
      </ddeItem>
      <ddeItem name="6666.TW-VolumeRatio" advise="1">
        <values>
          <value>
            <val>0</val>
          </value>
        </values>
      </ddeItem>
      <ddeItem name="6790.TW-5DayAvgVol" advise="1">
        <values>
          <value>
            <val>544</val>
          </value>
        </values>
      </ddeItem>
      <ddeItem name="6790.TW-AvgPrice" advise="1">
        <values>
          <value>
            <val>48.48</val>
          </value>
        </values>
      </ddeItem>
      <ddeItem name="6790.TW-Capital" advise="1">
        <values>
          <value t="str">
            <val>26.71</val>
          </value>
        </values>
      </ddeItem>
      <ddeItem name="6790.TW-DLOrderValueDiffRatio" advise="1">
        <values>
          <value>
            <val>0</val>
          </value>
        </values>
      </ddeItem>
      <ddeItem name="6790.TW-DXLOrderOutValueRatio" advise="1">
        <values>
          <value>
            <val>0</val>
          </value>
        </values>
      </ddeItem>
      <ddeItem name="6790.TW-DXLOrderValueDiffRatio" advise="1">
        <values>
          <value>
            <val>-20.74</val>
          </value>
        </values>
      </ddeItem>
      <ddeItem name="6790.TW-ExchangeIndustry" advise="1">
        <values>
          <value t="str">
            <val>上市造紙</val>
          </value>
        </values>
      </ddeItem>
      <ddeItem name="6790.TW-ID" advise="1">
        <values>
          <value t="str">
            <val>6790</val>
          </value>
        </values>
      </ddeItem>
      <ddeItem name="6790.TW-InOutRatioNumber" advise="1">
        <values>
          <value t="str">
            <val>32.69%</val>
          </value>
        </values>
      </ddeItem>
      <ddeItem name="6790.TW-Name" advise="1">
        <values>
          <value t="str">
            <val>永豐實</val>
          </value>
        </values>
      </ddeItem>
      <ddeItem name="6790.TW-PreTotalVolumeRate" advise="1">
        <values>
          <value>
            <val>0.34</val>
          </value>
        </values>
      </ddeItem>
      <ddeItem name="6790.TW-Price" advise="1">
        <values>
          <value>
            <val>48.4</val>
          </value>
        </values>
      </ddeItem>
      <ddeItem name="6790.TW-PriceChangeRatio" advise="1">
        <values>
          <value>
            <val>-0.21</val>
          </value>
        </values>
      </ddeItem>
      <ddeItem name="6790.TW-Time" advise="1">
        <values>
          <value t="str">
            <val>10:14:55</val>
          </value>
        </values>
      </ddeItem>
      <ddeItem name="6790.TW-VolumeRatio" advise="1">
        <values>
          <value>
            <val>0.86</val>
          </value>
        </values>
      </ddeItem>
      <ddeItem name="8222.TW-5DayAvgVol" advise="1">
        <values>
          <value>
            <val>93</val>
          </value>
        </values>
      </ddeItem>
      <ddeItem name="8222.TW-AvgPrice" advise="1">
        <values>
          <value>
            <val>14.31</val>
          </value>
        </values>
      </ddeItem>
      <ddeItem name="8222.TW-Capital" advise="1">
        <values>
          <value t="str">
            <val>6.86</val>
          </value>
        </values>
      </ddeItem>
      <ddeItem name="8222.TW-DLOrderValueDiffRatio" advise="1">
        <values>
          <value>
            <val>0</val>
          </value>
        </values>
      </ddeItem>
      <ddeItem name="8222.TW-DXLOrderOutValueRatio" advise="1">
        <values>
          <value>
            <val>0</val>
          </value>
        </values>
      </ddeItem>
      <ddeItem name="8222.TW-DXLOrderValueDiffRatio" advise="1">
        <values>
          <value>
            <val>0</val>
          </value>
        </values>
      </ddeItem>
      <ddeItem name="8222.TW-ExchangeIndustry" advise="1">
        <values>
          <value t="str">
            <val>上市電機機械</val>
          </value>
        </values>
      </ddeItem>
      <ddeItem name="8222.TW-ID" advise="1">
        <values>
          <value t="str">
            <val>8222</val>
          </value>
        </values>
      </ddeItem>
      <ddeItem name="8222.TW-InOutRatioNumber" advise="1">
        <values>
          <value t="str">
            <val>0.00%</val>
          </value>
        </values>
      </ddeItem>
      <ddeItem name="8222.TW-Name" advise="1">
        <values>
          <value t="str">
            <val>寶一</val>
          </value>
        </values>
      </ddeItem>
      <ddeItem name="8222.TW-PreTotalVolumeRate" advise="1">
        <values>
          <value>
            <val>0.08</val>
          </value>
        </values>
      </ddeItem>
      <ddeItem name="8222.TW-Price" advise="1">
        <values>
          <value>
            <val>14.2</val>
          </value>
        </values>
      </ddeItem>
      <ddeItem name="8222.TW-PriceChangeRatio" advise="1">
        <values>
          <value>
            <val>0</val>
          </value>
        </values>
      </ddeItem>
      <ddeItem name="8222.TW-Time" advise="1">
        <values>
          <value t="str">
            <val>10:11:25</val>
          </value>
        </values>
      </ddeItem>
      <ddeItem name="8222.TW-VolumeRatio" advise="1">
        <values>
          <value>
            <val>0.1</val>
          </value>
        </values>
      </ddeItem>
      <ddeItem name="8374.TW-5DayAvgVol" advise="1">
        <values>
          <value>
            <val>92</val>
          </value>
        </values>
      </ddeItem>
      <ddeItem name="8374.TW-AvgPrice" advise="1">
        <values>
          <value>
            <val>30.38</val>
          </value>
        </values>
      </ddeItem>
      <ddeItem name="8374.TW-Capital" advise="1">
        <values>
          <value t="str">
            <val>11.23</val>
          </value>
        </values>
      </ddeItem>
      <ddeItem name="8374.TW-DLOrderValueDiffRatio" advise="1">
        <values>
          <value>
            <val>0</val>
          </value>
        </values>
      </ddeItem>
      <ddeItem name="8374.TW-DXLOrderOutValueRatio" advise="1">
        <values>
          <value>
            <val>0</val>
          </value>
        </values>
      </ddeItem>
      <ddeItem name="8374.TW-DXLOrderValueDiffRatio" advise="1">
        <values>
          <value>
            <val>0</val>
          </value>
        </values>
      </ddeItem>
      <ddeItem name="8374.TW-ExchangeIndustry" advise="1">
        <values>
          <value t="str">
            <val>上市電機機械</val>
          </value>
        </values>
      </ddeItem>
      <ddeItem name="8374.TW-ID" advise="1">
        <values>
          <value t="str">
            <val>8374</val>
          </value>
        </values>
      </ddeItem>
      <ddeItem name="8374.TW-InOutRatioNumber" advise="1">
        <values>
          <value t="str">
            <val>0.00%</val>
          </value>
        </values>
      </ddeItem>
      <ddeItem name="8374.TW-Name" advise="1">
        <values>
          <value t="str">
            <val>羅昇</val>
          </value>
        </values>
      </ddeItem>
      <ddeItem name="8374.TW-PreTotalVolumeRate" advise="1">
        <values>
          <value>
            <val>0.09</val>
          </value>
        </values>
      </ddeItem>
      <ddeItem name="8374.TW-Price" advise="1">
        <values>
          <value>
            <val>30.3</val>
          </value>
        </values>
      </ddeItem>
      <ddeItem name="8374.TW-PriceChangeRatio" advise="1">
        <values>
          <value>
            <val>-1.3</val>
          </value>
        </values>
      </ddeItem>
      <ddeItem name="8374.TW-Time" advise="1">
        <values>
          <value t="str">
            <val>09:52:03</val>
          </value>
        </values>
      </ddeItem>
      <ddeItem name="8374.TW-VolumeRatio" advise="1">
        <values>
          <value>
            <val>0.23</val>
          </value>
        </values>
      </ddeItem>
      <ddeItem name="8996.TW-5DayAvgVol" advise="1">
        <values>
          <value>
            <val>83</val>
          </value>
        </values>
      </ddeItem>
      <ddeItem name="8996.TW-AvgPrice" advise="1">
        <values>
          <value>
            <val>43.47</val>
          </value>
        </values>
      </ddeItem>
      <ddeItem name="8996.TW-Capital" advise="1">
        <values>
          <value t="str">
            <val>8.94</val>
          </value>
        </values>
      </ddeItem>
      <ddeItem name="8996.TW-DLOrderValueDiffRatio" advise="1">
        <values>
          <value>
            <val>0</val>
          </value>
        </values>
      </ddeItem>
      <ddeItem name="8996.TW-DXLOrderOutValueRatio" advise="1">
        <values>
          <value>
            <val>0</val>
          </value>
        </values>
      </ddeItem>
      <ddeItem name="8996.TW-DXLOrderValueDiffRatio" advise="1">
        <values>
          <value>
            <val>0</val>
          </value>
        </values>
      </ddeItem>
      <ddeItem name="8996.TW-ExchangeIndustry" advise="1">
        <values>
          <value t="str">
            <val>上市電機機械</val>
          </value>
        </values>
      </ddeItem>
      <ddeItem name="8996.TW-ID" advise="1">
        <values>
          <value t="str">
            <val>8996</val>
          </value>
        </values>
      </ddeItem>
      <ddeItem name="8996.TW-InOutRatioNumber" advise="1">
        <values>
          <value t="str">
            <val>59.18%</val>
          </value>
        </values>
      </ddeItem>
      <ddeItem name="8996.TW-Name" advise="1">
        <values>
          <value t="str">
            <val>高力</val>
          </value>
        </values>
      </ddeItem>
      <ddeItem name="8996.TW-PreTotalVolumeRate" advise="1">
        <values>
          <value>
            <val>0.67</val>
          </value>
        </values>
      </ddeItem>
      <ddeItem name="8996.TW-Price" advise="1">
        <values>
          <value>
            <val>43.75</val>
          </value>
        </values>
      </ddeItem>
      <ddeItem name="8996.TW-PriceChangeRatio" advise="1">
        <values>
          <value>
            <val>1.74</val>
          </value>
        </values>
      </ddeItem>
      <ddeItem name="8996.TW-Time" advise="1">
        <values>
          <value t="str">
            <val>10:05:05</val>
          </value>
        </values>
      </ddeItem>
      <ddeItem name="8996.TW-VolumeRatio" advise="1">
        <values>
          <value>
            <val>2.57</val>
          </value>
        </values>
      </ddeItem>
      <ddeItem name="9958.TW-5DayAvgVol" advise="1">
        <values>
          <value>
            <val>8635</val>
          </value>
        </values>
      </ddeItem>
      <ddeItem name="9958.TW-AvgPrice" advise="1">
        <values>
          <value>
            <val>109.52</val>
          </value>
        </values>
      </ddeItem>
      <ddeItem name="9958.TW-Capital" advise="1">
        <values>
          <value t="str">
            <val>23.16</val>
          </value>
        </values>
      </ddeItem>
      <ddeItem name="9958.TW-DLOrderValueDiffRatio" advise="1">
        <values>
          <value>
            <val>-5.49</val>
          </value>
        </values>
      </ddeItem>
      <ddeItem name="9958.TW-DXLOrderOutValueRatio" advise="1">
        <values>
          <value>
            <val>6.45</val>
          </value>
        </values>
      </ddeItem>
      <ddeItem name="9958.TW-DXLOrderValueDiffRatio" advise="1">
        <values>
          <value>
            <val>-4.74</val>
          </value>
        </values>
      </ddeItem>
      <ddeItem name="9958.TW-ExchangeIndustry" advise="1">
        <values>
          <value t="str">
            <val>上市鋼鐵</val>
          </value>
        </values>
      </ddeItem>
      <ddeItem name="9958.TW-ID" advise="1">
        <values>
          <value t="str">
            <val>9958</val>
          </value>
        </values>
      </ddeItem>
      <ddeItem name="9958.TW-InOutRatioNumber" advise="1">
        <values>
          <value t="str">
            <val>33.83%</val>
          </value>
        </values>
      </ddeItem>
      <ddeItem name="9958.TW-Name" advise="1">
        <values>
          <value t="str">
            <val>世紀鋼</val>
          </value>
        </values>
      </ddeItem>
      <ddeItem name="9958.TW-PreTotalVolumeRate" advise="1">
        <values>
          <value>
            <val>0.22</val>
          </value>
        </values>
      </ddeItem>
      <ddeItem name="9958.TW-Price" advise="1">
        <values>
          <value>
            <val>108</val>
          </value>
        </values>
      </ddeItem>
      <ddeItem name="9958.TW-PriceChangeRatio" advise="1">
        <values>
          <value>
            <val>-2.2599999999999998</val>
          </value>
        </values>
      </ddeItem>
      <ddeItem name="9958.TW-Time" advise="1">
        <values>
          <value t="str">
            <val>10:14:53</val>
          </value>
        </values>
      </ddeItem>
      <ddeItem name="9958.TW-VolumeRatio" advise="1">
        <values>
          <value>
            <val>0.44</val>
          </value>
        </values>
      </ddeItem>
      <ddeItem name="StdDocumentName" ole="1" advise="1"/>
    </ddeItems>
  </ddeLin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38C12-3F2D-468B-80EC-1EB97F4844EE}">
  <dimension ref="A1:O301"/>
  <sheetViews>
    <sheetView tabSelected="1" topLeftCell="A109" workbookViewId="0">
      <selection activeCell="B126" sqref="B126"/>
    </sheetView>
  </sheetViews>
  <sheetFormatPr defaultRowHeight="16.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t="str">
        <f>[1]!'1101.TW-ID'</f>
        <v>1101</v>
      </c>
      <c r="B2" t="str">
        <f>[1]!'1101.TW-Name'</f>
        <v>台泥</v>
      </c>
      <c r="C2">
        <f>[1]!'1101.TW-Price'</f>
        <v>49.95</v>
      </c>
      <c r="D2">
        <f>[1]!'1101.TW-AvgPrice'</f>
        <v>50</v>
      </c>
      <c r="E2">
        <f>[1]!'1101.TW-PriceChangeRatio'</f>
        <v>-0.3</v>
      </c>
      <c r="F2" t="str">
        <f>[1]!'1101.TW-InOutRatioNumber'</f>
        <v>27.50%</v>
      </c>
      <c r="G2">
        <f>[1]!'1101.TW-PreTotalVolumeRate'</f>
        <v>0.25</v>
      </c>
      <c r="H2">
        <f>[1]!'1101.TW-VolumeRatio'</f>
        <v>0.56999999999999995</v>
      </c>
      <c r="I2">
        <f>[1]!'1101.TW-5DayAvgVol'</f>
        <v>10392</v>
      </c>
      <c r="J2">
        <f>[1]!'1101.TW-DXLOrderOutValueRatio'</f>
        <v>8.33</v>
      </c>
      <c r="K2">
        <f>[1]!'1101.TW-DXLOrderValueDiffRatio'</f>
        <v>-22.26</v>
      </c>
      <c r="L2">
        <f>[1]!'1101.TW-DLOrderValueDiffRatio'</f>
        <v>0.69</v>
      </c>
      <c r="M2" t="str">
        <f>[1]!'1101.TW-ExchangeIndustry'</f>
        <v>上市水泥</v>
      </c>
      <c r="N2" t="str">
        <f>[1]!'1101.TW-Capital'</f>
        <v>612.42</v>
      </c>
      <c r="O2" t="str">
        <f>[1]!'1101.TW-Time'</f>
        <v>10:15:17</v>
      </c>
    </row>
    <row r="3" spans="1:15" x14ac:dyDescent="0.25">
      <c r="A3" t="str">
        <f>[1]!'1102.TW-ID'</f>
        <v>1102</v>
      </c>
      <c r="B3" t="str">
        <f>[1]!'1102.TW-Name'</f>
        <v>亞泥</v>
      </c>
      <c r="C3">
        <f>[1]!'1102.TW-Price'</f>
        <v>45.6</v>
      </c>
      <c r="D3">
        <f>[1]!'1102.TW-AvgPrice'</f>
        <v>45.59</v>
      </c>
      <c r="E3">
        <f>[1]!'1102.TW-PriceChangeRatio'</f>
        <v>0.22</v>
      </c>
      <c r="F3" t="str">
        <f>[1]!'1102.TW-InOutRatioNumber'</f>
        <v>59.01%</v>
      </c>
      <c r="G3">
        <f>[1]!'1102.TW-PreTotalVolumeRate'</f>
        <v>0.28999999999999998</v>
      </c>
      <c r="H3">
        <f>[1]!'1102.TW-VolumeRatio'</f>
        <v>0.8</v>
      </c>
      <c r="I3">
        <f>[1]!'1102.TW-5DayAvgVol'</f>
        <v>4411</v>
      </c>
      <c r="J3">
        <f>[1]!'1102.TW-DXLOrderOutValueRatio'</f>
        <v>37.93</v>
      </c>
      <c r="K3">
        <f>[1]!'1102.TW-DXLOrderValueDiffRatio'</f>
        <v>21.14</v>
      </c>
      <c r="L3">
        <f>[1]!'1102.TW-DLOrderValueDiffRatio'</f>
        <v>0.4</v>
      </c>
      <c r="M3" t="str">
        <f>[1]!'1102.TW-ExchangeIndustry'</f>
        <v>上市水泥</v>
      </c>
      <c r="N3" t="str">
        <f>[1]!'1102.TW-Capital'</f>
        <v>359.82</v>
      </c>
      <c r="O3" t="str">
        <f>[1]!'1102.TW-Time'</f>
        <v>10:14:49</v>
      </c>
    </row>
    <row r="4" spans="1:15" x14ac:dyDescent="0.25">
      <c r="A4" t="str">
        <f>[1]!'1103.TW-ID'</f>
        <v>1103</v>
      </c>
      <c r="B4" t="str">
        <f>[1]!'1103.TW-Name'</f>
        <v>嘉泥</v>
      </c>
      <c r="C4">
        <f>[1]!'1103.TW-Price'</f>
        <v>20.399999999999999</v>
      </c>
      <c r="D4">
        <f>[1]!'1103.TW-AvgPrice'</f>
        <v>20.39</v>
      </c>
      <c r="E4">
        <f>[1]!'1103.TW-PriceChangeRatio'</f>
        <v>0.25</v>
      </c>
      <c r="F4" t="str">
        <f>[1]!'1103.TW-InOutRatioNumber'</f>
        <v>58.67%</v>
      </c>
      <c r="G4">
        <f>[1]!'1103.TW-PreTotalVolumeRate'</f>
        <v>0.22</v>
      </c>
      <c r="H4">
        <f>[1]!'1103.TW-VolumeRatio'</f>
        <v>0.5</v>
      </c>
      <c r="I4">
        <f>[1]!'1103.TW-5DayAvgVol'</f>
        <v>2921</v>
      </c>
      <c r="J4">
        <f>[1]!'1103.TW-DXLOrderOutValueRatio'</f>
        <v>0</v>
      </c>
      <c r="K4">
        <f>[1]!'1103.TW-DXLOrderValueDiffRatio'</f>
        <v>0</v>
      </c>
      <c r="L4">
        <f>[1]!'1103.TW-DLOrderValueDiffRatio'</f>
        <v>28.41</v>
      </c>
      <c r="M4" t="str">
        <f>[1]!'1103.TW-ExchangeIndustry'</f>
        <v>上市水泥</v>
      </c>
      <c r="N4" t="str">
        <f>[1]!'1103.TW-Capital'</f>
        <v>77.48</v>
      </c>
      <c r="O4" t="str">
        <f>[1]!'1103.TW-Time'</f>
        <v>10:13:03</v>
      </c>
    </row>
    <row r="5" spans="1:15" x14ac:dyDescent="0.25">
      <c r="A5" t="str">
        <f>[1]!'1104.TW-ID'</f>
        <v>1104</v>
      </c>
      <c r="B5" t="str">
        <f>[1]!'1104.TW-Name'</f>
        <v>環泥</v>
      </c>
      <c r="C5">
        <f>[1]!'1104.TW-Price'</f>
        <v>20.7</v>
      </c>
      <c r="D5">
        <f>[1]!'1104.TW-AvgPrice'</f>
        <v>20.6</v>
      </c>
      <c r="E5">
        <f>[1]!'1104.TW-PriceChangeRatio'</f>
        <v>0.24</v>
      </c>
      <c r="F5" t="str">
        <f>[1]!'1104.TW-InOutRatioNumber'</f>
        <v>8.95%</v>
      </c>
      <c r="G5">
        <f>[1]!'1104.TW-PreTotalVolumeRate'</f>
        <v>0.25</v>
      </c>
      <c r="H5">
        <f>[1]!'1104.TW-VolumeRatio'</f>
        <v>1.43</v>
      </c>
      <c r="I5">
        <f>[1]!'1104.TW-5DayAvgVol'</f>
        <v>593</v>
      </c>
      <c r="J5">
        <f>[1]!'1104.TW-DXLOrderOutValueRatio'</f>
        <v>0</v>
      </c>
      <c r="K5">
        <f>[1]!'1104.TW-DXLOrderValueDiffRatio'</f>
        <v>-34.659999999999997</v>
      </c>
      <c r="L5">
        <f>[1]!'1104.TW-DLOrderValueDiffRatio'</f>
        <v>-25.9</v>
      </c>
      <c r="M5" t="str">
        <f>[1]!'1104.TW-ExchangeIndustry'</f>
        <v>上市水泥</v>
      </c>
      <c r="N5" t="str">
        <f>[1]!'1104.TW-Capital'</f>
        <v>65.36</v>
      </c>
      <c r="O5" t="str">
        <f>[1]!'1104.TW-Time'</f>
        <v>10:09:20</v>
      </c>
    </row>
    <row r="6" spans="1:15" x14ac:dyDescent="0.25">
      <c r="A6" t="str">
        <f>[1]!'1108.TW-ID'</f>
        <v>1108</v>
      </c>
      <c r="B6" t="str">
        <f>[1]!'1108.TW-Name'</f>
        <v>幸福</v>
      </c>
      <c r="C6">
        <f>[1]!'1108.TW-Price'</f>
        <v>11.85</v>
      </c>
      <c r="D6">
        <f>[1]!'1108.TW-AvgPrice'</f>
        <v>11.81</v>
      </c>
      <c r="E6">
        <f>[1]!'1108.TW-PriceChangeRatio'</f>
        <v>0.85</v>
      </c>
      <c r="F6" t="str">
        <f>[1]!'1108.TW-InOutRatioNumber'</f>
        <v>50.00%</v>
      </c>
      <c r="G6">
        <f>[1]!'1108.TW-PreTotalVolumeRate'</f>
        <v>0.27</v>
      </c>
      <c r="H6">
        <f>[1]!'1108.TW-VolumeRatio'</f>
        <v>0.56000000000000005</v>
      </c>
      <c r="I6">
        <f>[1]!'1108.TW-5DayAvgVol'</f>
        <v>155</v>
      </c>
      <c r="J6">
        <f>[1]!'1108.TW-DXLOrderOutValueRatio'</f>
        <v>0</v>
      </c>
      <c r="K6">
        <f>[1]!'1108.TW-DXLOrderValueDiffRatio'</f>
        <v>0</v>
      </c>
      <c r="L6">
        <f>[1]!'1108.TW-DLOrderValueDiffRatio'</f>
        <v>0</v>
      </c>
      <c r="M6" t="str">
        <f>[1]!'1108.TW-ExchangeIndustry'</f>
        <v>上市水泥</v>
      </c>
      <c r="N6" t="str">
        <f>[1]!'1108.TW-Capital'</f>
        <v>40.47</v>
      </c>
      <c r="O6" t="str">
        <f>[1]!'1108.TW-Time'</f>
        <v>09:51:24</v>
      </c>
    </row>
    <row r="7" spans="1:15" x14ac:dyDescent="0.25">
      <c r="A7" t="str">
        <f>[1]!'1109.TW-ID'</f>
        <v>1109</v>
      </c>
      <c r="B7" t="str">
        <f>[1]!'1109.TW-Name'</f>
        <v>信大</v>
      </c>
      <c r="C7">
        <f>[1]!'1109.TW-Price'</f>
        <v>21.1</v>
      </c>
      <c r="D7">
        <f>[1]!'1109.TW-AvgPrice'</f>
        <v>21.18</v>
      </c>
      <c r="E7">
        <f>[1]!'1109.TW-PriceChangeRatio'</f>
        <v>-0.24</v>
      </c>
      <c r="F7" t="str">
        <f>[1]!'1109.TW-InOutRatioNumber'</f>
        <v>89.77%</v>
      </c>
      <c r="G7">
        <f>[1]!'1109.TW-PreTotalVolumeRate'</f>
        <v>0.2</v>
      </c>
      <c r="H7">
        <f>[1]!'1109.TW-VolumeRatio'</f>
        <v>0.54</v>
      </c>
      <c r="I7">
        <f>[1]!'1109.TW-5DayAvgVol'</f>
        <v>710</v>
      </c>
      <c r="J7">
        <f>[1]!'1109.TW-DXLOrderOutValueRatio'</f>
        <v>0</v>
      </c>
      <c r="K7">
        <f>[1]!'1109.TW-DXLOrderValueDiffRatio'</f>
        <v>0</v>
      </c>
      <c r="L7">
        <f>[1]!'1109.TW-DLOrderValueDiffRatio'</f>
        <v>0</v>
      </c>
      <c r="M7" t="str">
        <f>[1]!'1109.TW-ExchangeIndustry'</f>
        <v>上市水泥</v>
      </c>
      <c r="N7" t="str">
        <f>[1]!'1109.TW-Capital'</f>
        <v>34.20</v>
      </c>
      <c r="O7" t="str">
        <f>[1]!'1109.TW-Time'</f>
        <v>10:12:44</v>
      </c>
    </row>
    <row r="8" spans="1:15" x14ac:dyDescent="0.25">
      <c r="A8" t="str">
        <f>[1]!'1110.TW-ID'</f>
        <v>1110</v>
      </c>
      <c r="B8" t="str">
        <f>[1]!'1110.TW-Name'</f>
        <v>東泥</v>
      </c>
      <c r="C8">
        <f>[1]!'1110.TW-Price'</f>
        <v>20.100000000000001</v>
      </c>
      <c r="D8">
        <f>[1]!'1110.TW-AvgPrice'</f>
        <v>20.2</v>
      </c>
      <c r="E8">
        <f>[1]!'1110.TW-PriceChangeRatio'</f>
        <v>-0.74</v>
      </c>
      <c r="F8" t="str">
        <f>[1]!'1110.TW-InOutRatioNumber'</f>
        <v>58.88%</v>
      </c>
      <c r="G8">
        <f>[1]!'1110.TW-PreTotalVolumeRate'</f>
        <v>0.32</v>
      </c>
      <c r="H8">
        <f>[1]!'1110.TW-VolumeRatio'</f>
        <v>0.68</v>
      </c>
      <c r="I8">
        <f>[1]!'1110.TW-5DayAvgVol'</f>
        <v>686</v>
      </c>
      <c r="J8">
        <f>[1]!'1110.TW-DXLOrderOutValueRatio'</f>
        <v>0</v>
      </c>
      <c r="K8">
        <f>[1]!'1110.TW-DXLOrderValueDiffRatio'</f>
        <v>0</v>
      </c>
      <c r="L8">
        <f>[1]!'1110.TW-DLOrderValueDiffRatio'</f>
        <v>0</v>
      </c>
      <c r="M8" t="str">
        <f>[1]!'1110.TW-ExchangeIndustry'</f>
        <v>上市水泥</v>
      </c>
      <c r="N8" t="str">
        <f>[1]!'1110.TW-Capital'</f>
        <v>57.20</v>
      </c>
      <c r="O8" t="str">
        <f>[1]!'1110.TW-Time'</f>
        <v>10:13:31</v>
      </c>
    </row>
    <row r="9" spans="1:15" x14ac:dyDescent="0.25">
      <c r="A9" t="str">
        <f>[1]!'1201.TW-ID'</f>
        <v>1201</v>
      </c>
      <c r="B9" t="str">
        <f>[1]!'1201.TW-Name'</f>
        <v>味全</v>
      </c>
      <c r="C9">
        <f>[1]!'1201.TW-Price'</f>
        <v>23.85</v>
      </c>
      <c r="D9">
        <f>[1]!'1201.TW-AvgPrice'</f>
        <v>23.6</v>
      </c>
      <c r="E9">
        <f>[1]!'1201.TW-PriceChangeRatio'</f>
        <v>2.8</v>
      </c>
      <c r="F9" t="str">
        <f>[1]!'1201.TW-InOutRatioNumber'</f>
        <v>86.11%</v>
      </c>
      <c r="G9">
        <f>[1]!'1201.TW-PreTotalVolumeRate'</f>
        <v>1.4</v>
      </c>
      <c r="H9">
        <f>[1]!'1201.TW-VolumeRatio'</f>
        <v>3.75</v>
      </c>
      <c r="I9">
        <f>[1]!'1201.TW-5DayAvgVol'</f>
        <v>3124</v>
      </c>
      <c r="J9">
        <f>[1]!'1201.TW-DXLOrderOutValueRatio'</f>
        <v>24.34</v>
      </c>
      <c r="K9">
        <f>[1]!'1201.TW-DXLOrderValueDiffRatio'</f>
        <v>22.95</v>
      </c>
      <c r="L9">
        <f>[1]!'1201.TW-DLOrderValueDiffRatio'</f>
        <v>16.22</v>
      </c>
      <c r="M9" t="str">
        <f>[1]!'1201.TW-ExchangeIndustry'</f>
        <v>上市食品</v>
      </c>
      <c r="N9" t="str">
        <f>[1]!'1201.TW-Capital'</f>
        <v>50.61</v>
      </c>
      <c r="O9" t="str">
        <f>[1]!'1201.TW-Time'</f>
        <v>10:15:11</v>
      </c>
    </row>
    <row r="10" spans="1:15" x14ac:dyDescent="0.25">
      <c r="A10" t="str">
        <f>[1]!'1203.TW-ID'</f>
        <v>1203</v>
      </c>
      <c r="B10" t="str">
        <f>[1]!'1203.TW-Name'</f>
        <v>味王</v>
      </c>
      <c r="C10">
        <f>[1]!'1203.TW-Price'</f>
        <v>32</v>
      </c>
      <c r="D10">
        <f>[1]!'1203.TW-AvgPrice'</f>
        <v>31.91</v>
      </c>
      <c r="E10">
        <f>[1]!'1203.TW-PriceChangeRatio'</f>
        <v>-0.62</v>
      </c>
      <c r="F10" t="str">
        <f>[1]!'1203.TW-InOutRatioNumber'</f>
        <v>57.89%</v>
      </c>
      <c r="G10">
        <f>[1]!'1203.TW-PreTotalVolumeRate'</f>
        <v>1.46</v>
      </c>
      <c r="H10">
        <f>[1]!'1203.TW-VolumeRatio'</f>
        <v>0</v>
      </c>
      <c r="I10">
        <f>[1]!'1203.TW-5DayAvgVol'</f>
        <v>21</v>
      </c>
      <c r="J10">
        <f>[1]!'1203.TW-DXLOrderOutValueRatio'</f>
        <v>0</v>
      </c>
      <c r="K10">
        <f>[1]!'1203.TW-DXLOrderValueDiffRatio'</f>
        <v>0</v>
      </c>
      <c r="L10">
        <f>[1]!'1203.TW-DLOrderValueDiffRatio'</f>
        <v>0</v>
      </c>
      <c r="M10" t="str">
        <f>[1]!'1203.TW-ExchangeIndustry'</f>
        <v>上市食品</v>
      </c>
      <c r="N10" t="str">
        <f>[1]!'1203.TW-Capital'</f>
        <v>24.00</v>
      </c>
      <c r="O10" t="str">
        <f>[1]!'1203.TW-Time'</f>
        <v>09:51:09</v>
      </c>
    </row>
    <row r="11" spans="1:15" x14ac:dyDescent="0.25">
      <c r="A11" t="str">
        <f>[1]!'1210.TW-ID'</f>
        <v>1210</v>
      </c>
      <c r="B11" t="str">
        <f>[1]!'1210.TW-Name'</f>
        <v>大成</v>
      </c>
      <c r="C11">
        <f>[1]!'1210.TW-Price'</f>
        <v>54.4</v>
      </c>
      <c r="D11">
        <f>[1]!'1210.TW-AvgPrice'</f>
        <v>54.15</v>
      </c>
      <c r="E11">
        <f>[1]!'1210.TW-PriceChangeRatio'</f>
        <v>1.1200000000000001</v>
      </c>
      <c r="F11" t="str">
        <f>[1]!'1210.TW-InOutRatioNumber'</f>
        <v>77.23%</v>
      </c>
      <c r="G11">
        <f>[1]!'1210.TW-PreTotalVolumeRate'</f>
        <v>0.43</v>
      </c>
      <c r="H11">
        <f>[1]!'1210.TW-VolumeRatio'</f>
        <v>1.08</v>
      </c>
      <c r="I11">
        <f>[1]!'1210.TW-5DayAvgVol'</f>
        <v>1006</v>
      </c>
      <c r="J11">
        <f>[1]!'1210.TW-DXLOrderOutValueRatio'</f>
        <v>21.03</v>
      </c>
      <c r="K11">
        <f>[1]!'1210.TW-DXLOrderValueDiffRatio'</f>
        <v>21.03</v>
      </c>
      <c r="L11">
        <f>[1]!'1210.TW-DLOrderValueDiffRatio'</f>
        <v>12.58</v>
      </c>
      <c r="M11" t="str">
        <f>[1]!'1210.TW-ExchangeIndustry'</f>
        <v>上市食品</v>
      </c>
      <c r="N11" t="str">
        <f>[1]!'1210.TW-Capital'</f>
        <v>85.22</v>
      </c>
      <c r="O11" t="str">
        <f>[1]!'1210.TW-Time'</f>
        <v>10:15:13</v>
      </c>
    </row>
    <row r="12" spans="1:15" x14ac:dyDescent="0.25">
      <c r="A12" t="str">
        <f>[1]!'1213.TW-ID'</f>
        <v>1213</v>
      </c>
      <c r="B12" t="str">
        <f>[1]!'1213.TW-Name'</f>
        <v>大飲</v>
      </c>
      <c r="C12" t="str">
        <f>[1]!'1213.TW-Price'</f>
        <v>--</v>
      </c>
      <c r="D12" t="str">
        <f>[1]!'1213.TW-AvgPrice'</f>
        <v>--</v>
      </c>
      <c r="E12" t="str">
        <f>[1]!'1213.TW-PriceChangeRatio'</f>
        <v>--</v>
      </c>
      <c r="F12" t="str">
        <f>[1]!'1213.TW-InOutRatioNumber'</f>
        <v>--</v>
      </c>
      <c r="G12" t="str">
        <f>[1]!'1213.TW-PreTotalVolumeRate'</f>
        <v>--</v>
      </c>
      <c r="H12">
        <f>[1]!'1213.TW-VolumeRatio'</f>
        <v>0</v>
      </c>
      <c r="I12">
        <f>[1]!'1213.TW-5DayAvgVol'</f>
        <v>21</v>
      </c>
      <c r="J12">
        <f>[1]!'1213.TW-DXLOrderOutValueRatio'</f>
        <v>0</v>
      </c>
      <c r="K12">
        <f>[1]!'1213.TW-DXLOrderValueDiffRatio'</f>
        <v>0</v>
      </c>
      <c r="L12">
        <f>[1]!'1213.TW-DLOrderValueDiffRatio'</f>
        <v>0</v>
      </c>
      <c r="M12" t="str">
        <f>[1]!'1213.TW-ExchangeIndustry'</f>
        <v>上市食品</v>
      </c>
      <c r="N12" t="str">
        <f>[1]!'1213.TW-Capital'</f>
        <v>5.66</v>
      </c>
      <c r="O12" t="str">
        <f>[1]!'1213.TW-Time'</f>
        <v>--</v>
      </c>
    </row>
    <row r="13" spans="1:15" x14ac:dyDescent="0.25">
      <c r="A13" t="str">
        <f>[1]!'1215.TW-ID'</f>
        <v>1215</v>
      </c>
      <c r="B13" t="str">
        <f>[1]!'1215.TW-Name'</f>
        <v>卜蜂</v>
      </c>
      <c r="C13">
        <f>[1]!'1215.TW-Price'</f>
        <v>79.599999999999994</v>
      </c>
      <c r="D13">
        <f>[1]!'1215.TW-AvgPrice'</f>
        <v>79.53</v>
      </c>
      <c r="E13">
        <f>[1]!'1215.TW-PriceChangeRatio'</f>
        <v>0.51</v>
      </c>
      <c r="F13" t="str">
        <f>[1]!'1215.TW-InOutRatioNumber'</f>
        <v>56.98%</v>
      </c>
      <c r="G13">
        <f>[1]!'1215.TW-PreTotalVolumeRate'</f>
        <v>0.3</v>
      </c>
      <c r="H13">
        <f>[1]!'1215.TW-VolumeRatio'</f>
        <v>0.73</v>
      </c>
      <c r="I13">
        <f>[1]!'1215.TW-5DayAvgVol'</f>
        <v>263</v>
      </c>
      <c r="J13">
        <f>[1]!'1215.TW-DXLOrderOutValueRatio'</f>
        <v>0</v>
      </c>
      <c r="K13">
        <f>[1]!'1215.TW-DXLOrderValueDiffRatio'</f>
        <v>0</v>
      </c>
      <c r="L13">
        <f>[1]!'1215.TW-DLOrderValueDiffRatio'</f>
        <v>11</v>
      </c>
      <c r="M13" t="str">
        <f>[1]!'1215.TW-ExchangeIndustry'</f>
        <v>上市食品</v>
      </c>
      <c r="N13" t="str">
        <f>[1]!'1215.TW-Capital'</f>
        <v>26.80</v>
      </c>
      <c r="O13" t="str">
        <f>[1]!'1215.TW-Time'</f>
        <v>10:10:11</v>
      </c>
    </row>
    <row r="14" spans="1:15" x14ac:dyDescent="0.25">
      <c r="A14" t="str">
        <f>[1]!'1216.TW-ID'</f>
        <v>1216</v>
      </c>
      <c r="B14" t="str">
        <f>[1]!'1216.TW-Name'</f>
        <v>統一</v>
      </c>
      <c r="C14">
        <f>[1]!'1216.TW-Price'</f>
        <v>67.8</v>
      </c>
      <c r="D14">
        <f>[1]!'1216.TW-AvgPrice'</f>
        <v>68.010000000000005</v>
      </c>
      <c r="E14">
        <f>[1]!'1216.TW-PriceChangeRatio'</f>
        <v>-0.44</v>
      </c>
      <c r="F14" t="str">
        <f>[1]!'1216.TW-InOutRatioNumber'</f>
        <v>40.85%</v>
      </c>
      <c r="G14">
        <f>[1]!'1216.TW-PreTotalVolumeRate'</f>
        <v>0.13</v>
      </c>
      <c r="H14">
        <f>[1]!'1216.TW-VolumeRatio'</f>
        <v>0.36</v>
      </c>
      <c r="I14">
        <f>[1]!'1216.TW-5DayAvgVol'</f>
        <v>5908</v>
      </c>
      <c r="J14">
        <f>[1]!'1216.TW-DXLOrderOutValueRatio'</f>
        <v>11.28</v>
      </c>
      <c r="K14">
        <f>[1]!'1216.TW-DXLOrderValueDiffRatio'</f>
        <v>5.59</v>
      </c>
      <c r="L14">
        <f>[1]!'1216.TW-DLOrderValueDiffRatio'</f>
        <v>-18.54</v>
      </c>
      <c r="M14" t="str">
        <f>[1]!'1216.TW-ExchangeIndustry'</f>
        <v>上市食品</v>
      </c>
      <c r="N14" t="str">
        <f>[1]!'1216.TW-Capital'</f>
        <v>568.20</v>
      </c>
      <c r="O14" t="str">
        <f>[1]!'1216.TW-Time'</f>
        <v>10:15:07</v>
      </c>
    </row>
    <row r="15" spans="1:15" x14ac:dyDescent="0.25">
      <c r="A15" t="str">
        <f>[1]!'1217.TW-ID'</f>
        <v>1217</v>
      </c>
      <c r="B15" t="str">
        <f>[1]!'1217.TW-Name'</f>
        <v>愛之味</v>
      </c>
      <c r="C15">
        <f>[1]!'1217.TW-Price'</f>
        <v>10.25</v>
      </c>
      <c r="D15">
        <f>[1]!'1217.TW-AvgPrice'</f>
        <v>10.199999999999999</v>
      </c>
      <c r="E15">
        <f>[1]!'1217.TW-PriceChangeRatio'</f>
        <v>1.49</v>
      </c>
      <c r="F15" t="str">
        <f>[1]!'1217.TW-InOutRatioNumber'</f>
        <v>67.72%</v>
      </c>
      <c r="G15">
        <f>[1]!'1217.TW-PreTotalVolumeRate'</f>
        <v>0.64</v>
      </c>
      <c r="H15">
        <f>[1]!'1217.TW-VolumeRatio'</f>
        <v>1.58</v>
      </c>
      <c r="I15">
        <f>[1]!'1217.TW-5DayAvgVol'</f>
        <v>1108</v>
      </c>
      <c r="J15">
        <f>[1]!'1217.TW-DXLOrderOutValueRatio'</f>
        <v>18.36</v>
      </c>
      <c r="K15">
        <f>[1]!'1217.TW-DXLOrderValueDiffRatio'</f>
        <v>18.36</v>
      </c>
      <c r="L15">
        <f>[1]!'1217.TW-DLOrderValueDiffRatio'</f>
        <v>22.63</v>
      </c>
      <c r="M15" t="str">
        <f>[1]!'1217.TW-ExchangeIndustry'</f>
        <v>上市食品</v>
      </c>
      <c r="N15" t="str">
        <f>[1]!'1217.TW-Capital'</f>
        <v>49.45</v>
      </c>
      <c r="O15" t="str">
        <f>[1]!'1217.TW-Time'</f>
        <v>10:15:16</v>
      </c>
    </row>
    <row r="16" spans="1:15" x14ac:dyDescent="0.25">
      <c r="A16" t="str">
        <f>[1]!'1218.TW-ID'</f>
        <v>1218</v>
      </c>
      <c r="B16" t="str">
        <f>[1]!'1218.TW-Name'</f>
        <v>泰山</v>
      </c>
      <c r="C16">
        <f>[1]!'1218.TW-Price'</f>
        <v>28</v>
      </c>
      <c r="D16">
        <f>[1]!'1218.TW-AvgPrice'</f>
        <v>27.89</v>
      </c>
      <c r="E16">
        <f>[1]!'1218.TW-PriceChangeRatio'</f>
        <v>1.45</v>
      </c>
      <c r="F16" t="str">
        <f>[1]!'1218.TW-InOutRatioNumber'</f>
        <v>69.68%</v>
      </c>
      <c r="G16">
        <f>[1]!'1218.TW-PreTotalVolumeRate'</f>
        <v>0.59</v>
      </c>
      <c r="H16">
        <f>[1]!'1218.TW-VolumeRatio'</f>
        <v>1.79</v>
      </c>
      <c r="I16">
        <f>[1]!'1218.TW-5DayAvgVol'</f>
        <v>281</v>
      </c>
      <c r="J16">
        <f>[1]!'1218.TW-DXLOrderOutValueRatio'</f>
        <v>0</v>
      </c>
      <c r="K16">
        <f>[1]!'1218.TW-DXLOrderValueDiffRatio'</f>
        <v>0</v>
      </c>
      <c r="L16">
        <f>[1]!'1218.TW-DLOrderValueDiffRatio'</f>
        <v>9.36</v>
      </c>
      <c r="M16" t="str">
        <f>[1]!'1218.TW-ExchangeIndustry'</f>
        <v>上市食品</v>
      </c>
      <c r="N16" t="str">
        <f>[1]!'1218.TW-Capital'</f>
        <v>50.00</v>
      </c>
      <c r="O16" t="str">
        <f>[1]!'1218.TW-Time'</f>
        <v>10:15:00</v>
      </c>
    </row>
    <row r="17" spans="1:15" x14ac:dyDescent="0.25">
      <c r="A17" t="str">
        <f>[1]!'1219.TW-ID'</f>
        <v>1219</v>
      </c>
      <c r="B17" t="str">
        <f>[1]!'1219.TW-Name'</f>
        <v>福壽</v>
      </c>
      <c r="C17">
        <f>[1]!'1219.TW-Price'</f>
        <v>22.35</v>
      </c>
      <c r="D17">
        <f>[1]!'1219.TW-AvgPrice'</f>
        <v>22.02</v>
      </c>
      <c r="E17">
        <f>[1]!'1219.TW-PriceChangeRatio'</f>
        <v>5.42</v>
      </c>
      <c r="F17" t="str">
        <f>[1]!'1219.TW-InOutRatioNumber'</f>
        <v>58.94%</v>
      </c>
      <c r="G17">
        <f>[1]!'1219.TW-PreTotalVolumeRate'</f>
        <v>2.68</v>
      </c>
      <c r="H17">
        <f>[1]!'1219.TW-VolumeRatio'</f>
        <v>6.01</v>
      </c>
      <c r="I17">
        <f>[1]!'1219.TW-5DayAvgVol'</f>
        <v>1380</v>
      </c>
      <c r="J17">
        <f>[1]!'1219.TW-DXLOrderOutValueRatio'</f>
        <v>5.33</v>
      </c>
      <c r="K17">
        <f>[1]!'1219.TW-DXLOrderValueDiffRatio'</f>
        <v>5.33</v>
      </c>
      <c r="L17">
        <f>[1]!'1219.TW-DLOrderValueDiffRatio'</f>
        <v>7.16</v>
      </c>
      <c r="M17" t="str">
        <f>[1]!'1219.TW-ExchangeIndustry'</f>
        <v>上市食品</v>
      </c>
      <c r="N17" t="str">
        <f>[1]!'1219.TW-Capital'</f>
        <v>32.20</v>
      </c>
      <c r="O17" t="str">
        <f>[1]!'1219.TW-Time'</f>
        <v>10:15:06</v>
      </c>
    </row>
    <row r="18" spans="1:15" x14ac:dyDescent="0.25">
      <c r="A18" t="str">
        <f>[1]!'1220.TW-ID'</f>
        <v>1220</v>
      </c>
      <c r="B18" t="str">
        <f>[1]!'1220.TW-Name'</f>
        <v>台榮</v>
      </c>
      <c r="C18">
        <f>[1]!'1220.TW-Price'</f>
        <v>15.45</v>
      </c>
      <c r="D18">
        <f>[1]!'1220.TW-AvgPrice'</f>
        <v>15.27</v>
      </c>
      <c r="E18">
        <f>[1]!'1220.TW-PriceChangeRatio'</f>
        <v>2.3199999999999998</v>
      </c>
      <c r="F18" t="str">
        <f>[1]!'1220.TW-InOutRatioNumber'</f>
        <v>76.87%</v>
      </c>
      <c r="G18">
        <f>[1]!'1220.TW-PreTotalVolumeRate'</f>
        <v>0.84</v>
      </c>
      <c r="H18">
        <f>[1]!'1220.TW-VolumeRatio'</f>
        <v>2.19</v>
      </c>
      <c r="I18">
        <f>[1]!'1220.TW-5DayAvgVol'</f>
        <v>176</v>
      </c>
      <c r="J18">
        <f>[1]!'1220.TW-DXLOrderOutValueRatio'</f>
        <v>0</v>
      </c>
      <c r="K18">
        <f>[1]!'1220.TW-DXLOrderValueDiffRatio'</f>
        <v>0</v>
      </c>
      <c r="L18">
        <f>[1]!'1220.TW-DLOrderValueDiffRatio'</f>
        <v>0</v>
      </c>
      <c r="M18" t="str">
        <f>[1]!'1220.TW-ExchangeIndustry'</f>
        <v>上市食品</v>
      </c>
      <c r="N18" t="str">
        <f>[1]!'1220.TW-Capital'</f>
        <v>17.71</v>
      </c>
      <c r="O18" t="str">
        <f>[1]!'1220.TW-Time'</f>
        <v>10:15:16</v>
      </c>
    </row>
    <row r="19" spans="1:15" x14ac:dyDescent="0.25">
      <c r="A19" t="str">
        <f>[1]!'1225.TW-ID'</f>
        <v>1225</v>
      </c>
      <c r="B19" t="str">
        <f>[1]!'1225.TW-Name'</f>
        <v>福懋油</v>
      </c>
      <c r="C19">
        <f>[1]!'1225.TW-Price'</f>
        <v>49</v>
      </c>
      <c r="D19">
        <f>[1]!'1225.TW-AvgPrice'</f>
        <v>49.14</v>
      </c>
      <c r="E19">
        <f>[1]!'1225.TW-PriceChangeRatio'</f>
        <v>0.1</v>
      </c>
      <c r="F19" t="str">
        <f>[1]!'1225.TW-InOutRatioNumber'</f>
        <v>81.13%</v>
      </c>
      <c r="G19">
        <f>[1]!'1225.TW-PreTotalVolumeRate'</f>
        <v>0.33</v>
      </c>
      <c r="H19">
        <f>[1]!'1225.TW-VolumeRatio'</f>
        <v>0.89</v>
      </c>
      <c r="I19">
        <f>[1]!'1225.TW-5DayAvgVol'</f>
        <v>286</v>
      </c>
      <c r="J19">
        <f>[1]!'1225.TW-DXLOrderOutValueRatio'</f>
        <v>0</v>
      </c>
      <c r="K19">
        <f>[1]!'1225.TW-DXLOrderValueDiffRatio'</f>
        <v>0</v>
      </c>
      <c r="L19">
        <f>[1]!'1225.TW-DLOrderValueDiffRatio'</f>
        <v>0</v>
      </c>
      <c r="M19" t="str">
        <f>[1]!'1225.TW-ExchangeIndustry'</f>
        <v>上市食品</v>
      </c>
      <c r="N19" t="str">
        <f>[1]!'1225.TW-Capital'</f>
        <v>21.87</v>
      </c>
      <c r="O19" t="str">
        <f>[1]!'1225.TW-Time'</f>
        <v>10:07:14</v>
      </c>
    </row>
    <row r="20" spans="1:15" x14ac:dyDescent="0.25">
      <c r="A20" t="str">
        <f>[1]!'1227.TW-ID'</f>
        <v>1227</v>
      </c>
      <c r="B20" t="str">
        <f>[1]!'1227.TW-Name'</f>
        <v>佳格</v>
      </c>
      <c r="C20">
        <f>[1]!'1227.TW-Price'</f>
        <v>51.6</v>
      </c>
      <c r="D20">
        <f>[1]!'1227.TW-AvgPrice'</f>
        <v>51.49</v>
      </c>
      <c r="E20">
        <f>[1]!'1227.TW-PriceChangeRatio'</f>
        <v>0.19</v>
      </c>
      <c r="F20" t="str">
        <f>[1]!'1227.TW-InOutRatioNumber'</f>
        <v>56.76%</v>
      </c>
      <c r="G20">
        <f>[1]!'1227.TW-PreTotalVolumeRate'</f>
        <v>0.32</v>
      </c>
      <c r="H20">
        <f>[1]!'1227.TW-VolumeRatio'</f>
        <v>0.81</v>
      </c>
      <c r="I20">
        <f>[1]!'1227.TW-5DayAvgVol'</f>
        <v>693</v>
      </c>
      <c r="J20">
        <f>[1]!'1227.TW-DXLOrderOutValueRatio'</f>
        <v>0</v>
      </c>
      <c r="K20">
        <f>[1]!'1227.TW-DXLOrderValueDiffRatio'</f>
        <v>0</v>
      </c>
      <c r="L20">
        <f>[1]!'1227.TW-DLOrderValueDiffRatio'</f>
        <v>-0.59</v>
      </c>
      <c r="M20" t="str">
        <f>[1]!'1227.TW-ExchangeIndustry'</f>
        <v>上市食品</v>
      </c>
      <c r="N20" t="str">
        <f>[1]!'1227.TW-Capital'</f>
        <v>91.51</v>
      </c>
      <c r="O20" t="str">
        <f>[1]!'1227.TW-Time'</f>
        <v>10:11:59</v>
      </c>
    </row>
    <row r="21" spans="1:15" x14ac:dyDescent="0.25">
      <c r="A21" t="str">
        <f>[1]!'1229.TW-ID'</f>
        <v>1229</v>
      </c>
      <c r="B21" t="str">
        <f>[1]!'1229.TW-Name'</f>
        <v>聯華</v>
      </c>
      <c r="C21">
        <f>[1]!'1229.TW-Price'</f>
        <v>54.8</v>
      </c>
      <c r="D21">
        <f>[1]!'1229.TW-AvgPrice'</f>
        <v>54.72</v>
      </c>
      <c r="E21">
        <f>[1]!'1229.TW-PriceChangeRatio'</f>
        <v>0.55000000000000004</v>
      </c>
      <c r="F21" t="str">
        <f>[1]!'1229.TW-InOutRatioNumber'</f>
        <v>57.76%</v>
      </c>
      <c r="G21">
        <f>[1]!'1229.TW-PreTotalVolumeRate'</f>
        <v>0.36</v>
      </c>
      <c r="H21">
        <f>[1]!'1229.TW-VolumeRatio'</f>
        <v>0.91</v>
      </c>
      <c r="I21">
        <f>[1]!'1229.TW-5DayAvgVol'</f>
        <v>1579</v>
      </c>
      <c r="J21">
        <f>[1]!'1229.TW-DXLOrderOutValueRatio'</f>
        <v>14.79</v>
      </c>
      <c r="K21">
        <f>[1]!'1229.TW-DXLOrderValueDiffRatio'</f>
        <v>14.79</v>
      </c>
      <c r="L21">
        <f>[1]!'1229.TW-DLOrderValueDiffRatio'</f>
        <v>1.66</v>
      </c>
      <c r="M21" t="str">
        <f>[1]!'1229.TW-ExchangeIndustry'</f>
        <v>上市食品</v>
      </c>
      <c r="N21" t="str">
        <f>[1]!'1229.TW-Capital'</f>
        <v>140.96</v>
      </c>
      <c r="O21" t="str">
        <f>[1]!'1229.TW-Time'</f>
        <v>10:15:17</v>
      </c>
    </row>
    <row r="22" spans="1:15" x14ac:dyDescent="0.25">
      <c r="A22" t="str">
        <f>[1]!'1231.TW-ID'</f>
        <v>1231</v>
      </c>
      <c r="B22" t="str">
        <f>[1]!'1231.TW-Name'</f>
        <v>聯華食</v>
      </c>
      <c r="C22">
        <f>[1]!'1231.TW-Price'</f>
        <v>65.5</v>
      </c>
      <c r="D22">
        <f>[1]!'1231.TW-AvgPrice'</f>
        <v>65.349999999999994</v>
      </c>
      <c r="E22">
        <f>[1]!'1231.TW-PriceChangeRatio'</f>
        <v>-0.76</v>
      </c>
      <c r="F22" t="str">
        <f>[1]!'1231.TW-InOutRatioNumber'</f>
        <v>41.40%</v>
      </c>
      <c r="G22">
        <f>[1]!'1231.TW-PreTotalVolumeRate'</f>
        <v>1.36</v>
      </c>
      <c r="H22">
        <f>[1]!'1231.TW-VolumeRatio'</f>
        <v>2.5499999999999998</v>
      </c>
      <c r="I22">
        <f>[1]!'1231.TW-5DayAvgVol'</f>
        <v>163</v>
      </c>
      <c r="J22">
        <f>[1]!'1231.TW-DXLOrderOutValueRatio'</f>
        <v>12.67</v>
      </c>
      <c r="K22">
        <f>[1]!'1231.TW-DXLOrderValueDiffRatio'</f>
        <v>12.67</v>
      </c>
      <c r="L22">
        <f>[1]!'1231.TW-DLOrderValueDiffRatio'</f>
        <v>8.8699999999999992</v>
      </c>
      <c r="M22" t="str">
        <f>[1]!'1231.TW-ExchangeIndustry'</f>
        <v>上市食品</v>
      </c>
      <c r="N22" t="str">
        <f>[1]!'1231.TW-Capital'</f>
        <v>20.18</v>
      </c>
      <c r="O22" t="str">
        <f>[1]!'1231.TW-Time'</f>
        <v>10:14:59</v>
      </c>
    </row>
    <row r="23" spans="1:15" x14ac:dyDescent="0.25">
      <c r="A23" t="str">
        <f>[1]!'1232.TW-ID'</f>
        <v>1232</v>
      </c>
      <c r="B23" t="str">
        <f>[1]!'1232.TW-Name'</f>
        <v>大統益</v>
      </c>
      <c r="C23">
        <f>[1]!'1232.TW-Price'</f>
        <v>159</v>
      </c>
      <c r="D23">
        <f>[1]!'1232.TW-AvgPrice'</f>
        <v>158.57</v>
      </c>
      <c r="E23">
        <f>[1]!'1232.TW-PriceChangeRatio'</f>
        <v>0.32</v>
      </c>
      <c r="F23" t="str">
        <f>[1]!'1232.TW-InOutRatioNumber'</f>
        <v>92.86%</v>
      </c>
      <c r="G23">
        <f>[1]!'1232.TW-PreTotalVolumeRate'</f>
        <v>0.17</v>
      </c>
      <c r="H23">
        <f>[1]!'1232.TW-VolumeRatio'</f>
        <v>2.4500000000000002</v>
      </c>
      <c r="I23">
        <f>[1]!'1232.TW-5DayAvgVol'</f>
        <v>58</v>
      </c>
      <c r="J23">
        <f>[1]!'1232.TW-DXLOrderOutValueRatio'</f>
        <v>0</v>
      </c>
      <c r="K23">
        <f>[1]!'1232.TW-DXLOrderValueDiffRatio'</f>
        <v>0</v>
      </c>
      <c r="L23">
        <f>[1]!'1232.TW-DLOrderValueDiffRatio'</f>
        <v>57.12</v>
      </c>
      <c r="M23" t="str">
        <f>[1]!'1232.TW-ExchangeIndustry'</f>
        <v>上市食品</v>
      </c>
      <c r="N23" t="str">
        <f>[1]!'1232.TW-Capital'</f>
        <v>16.00</v>
      </c>
      <c r="O23" t="str">
        <f>[1]!'1232.TW-Time'</f>
        <v>10:15:19</v>
      </c>
    </row>
    <row r="24" spans="1:15" x14ac:dyDescent="0.25">
      <c r="A24" t="str">
        <f>[1]!'1233.TW-ID'</f>
        <v>1233</v>
      </c>
      <c r="B24" t="str">
        <f>[1]!'1233.TW-Name'</f>
        <v>天仁</v>
      </c>
      <c r="C24">
        <f>[1]!'1233.TW-Price'</f>
        <v>33.299999999999997</v>
      </c>
      <c r="D24">
        <f>[1]!'1233.TW-AvgPrice'</f>
        <v>33.4</v>
      </c>
      <c r="E24">
        <f>[1]!'1233.TW-PriceChangeRatio'</f>
        <v>-0.89</v>
      </c>
      <c r="F24" t="str">
        <f>[1]!'1233.TW-InOutRatioNumber'</f>
        <v>33.33%</v>
      </c>
      <c r="G24">
        <f>[1]!'1233.TW-PreTotalVolumeRate'</f>
        <v>0.19</v>
      </c>
      <c r="H24">
        <f>[1]!'1233.TW-VolumeRatio'</f>
        <v>0</v>
      </c>
      <c r="I24">
        <f>[1]!'1233.TW-5DayAvgVol'</f>
        <v>30</v>
      </c>
      <c r="J24">
        <f>[1]!'1233.TW-DXLOrderOutValueRatio'</f>
        <v>0</v>
      </c>
      <c r="K24">
        <f>[1]!'1233.TW-DXLOrderValueDiffRatio'</f>
        <v>0</v>
      </c>
      <c r="L24">
        <f>[1]!'1233.TW-DLOrderValueDiffRatio'</f>
        <v>0</v>
      </c>
      <c r="M24" t="str">
        <f>[1]!'1233.TW-ExchangeIndustry'</f>
        <v>上市食品</v>
      </c>
      <c r="N24" t="str">
        <f>[1]!'1233.TW-Capital'</f>
        <v>9.06</v>
      </c>
      <c r="O24" t="str">
        <f>[1]!'1233.TW-Time'</f>
        <v>10:01:09</v>
      </c>
    </row>
    <row r="25" spans="1:15" x14ac:dyDescent="0.25">
      <c r="A25" t="str">
        <f>[1]!'1234.TW-ID'</f>
        <v>1234</v>
      </c>
      <c r="B25" t="str">
        <f>[1]!'1234.TW-Name'</f>
        <v>黑松</v>
      </c>
      <c r="C25">
        <f>[1]!'1234.TW-Price'</f>
        <v>34.200000000000003</v>
      </c>
      <c r="D25">
        <f>[1]!'1234.TW-AvgPrice'</f>
        <v>34.119999999999997</v>
      </c>
      <c r="E25">
        <f>[1]!'1234.TW-PriceChangeRatio'</f>
        <v>-0.28999999999999998</v>
      </c>
      <c r="F25" t="str">
        <f>[1]!'1234.TW-InOutRatioNumber'</f>
        <v>12.50%</v>
      </c>
      <c r="G25">
        <f>[1]!'1234.TW-PreTotalVolumeRate'</f>
        <v>0.12</v>
      </c>
      <c r="H25">
        <f>[1]!'1234.TW-VolumeRatio'</f>
        <v>0.48</v>
      </c>
      <c r="I25">
        <f>[1]!'1234.TW-5DayAvgVol'</f>
        <v>113</v>
      </c>
      <c r="J25">
        <f>[1]!'1234.TW-DXLOrderOutValueRatio'</f>
        <v>0</v>
      </c>
      <c r="K25">
        <f>[1]!'1234.TW-DXLOrderValueDiffRatio'</f>
        <v>0</v>
      </c>
      <c r="L25">
        <f>[1]!'1234.TW-DLOrderValueDiffRatio'</f>
        <v>0</v>
      </c>
      <c r="M25" t="str">
        <f>[1]!'1234.TW-ExchangeIndustry'</f>
        <v>上市食品</v>
      </c>
      <c r="N25" t="str">
        <f>[1]!'1234.TW-Capital'</f>
        <v>40.19</v>
      </c>
      <c r="O25" t="str">
        <f>[1]!'1234.TW-Time'</f>
        <v>09:59:46</v>
      </c>
    </row>
    <row r="26" spans="1:15" x14ac:dyDescent="0.25">
      <c r="A26" t="str">
        <f>[1]!'1235.TW-ID'</f>
        <v>1235</v>
      </c>
      <c r="B26" t="str">
        <f>[1]!'1235.TW-Name'</f>
        <v>興泰</v>
      </c>
      <c r="C26">
        <f>[1]!'1235.TW-Price'</f>
        <v>36</v>
      </c>
      <c r="D26">
        <f>[1]!'1235.TW-AvgPrice'</f>
        <v>35.39</v>
      </c>
      <c r="E26">
        <f>[1]!'1235.TW-PriceChangeRatio'</f>
        <v>2.86</v>
      </c>
      <c r="F26" t="str">
        <f>[1]!'1235.TW-InOutRatioNumber'</f>
        <v>60.00%</v>
      </c>
      <c r="G26">
        <f>[1]!'1235.TW-PreTotalVolumeRate'</f>
        <v>0.01</v>
      </c>
      <c r="H26">
        <f>[1]!'1235.TW-VolumeRatio'</f>
        <v>0.85</v>
      </c>
      <c r="I26">
        <f>[1]!'1235.TW-5DayAvgVol'</f>
        <v>152</v>
      </c>
      <c r="J26">
        <f>[1]!'1235.TW-DXLOrderOutValueRatio'</f>
        <v>0</v>
      </c>
      <c r="K26">
        <f>[1]!'1235.TW-DXLOrderValueDiffRatio'</f>
        <v>0</v>
      </c>
      <c r="L26">
        <f>[1]!'1235.TW-DLOrderValueDiffRatio'</f>
        <v>0</v>
      </c>
      <c r="M26" t="str">
        <f>[1]!'1235.TW-ExchangeIndustry'</f>
        <v>上市食品</v>
      </c>
      <c r="N26" t="str">
        <f>[1]!'1235.TW-Capital'</f>
        <v>10.44</v>
      </c>
      <c r="O26" t="str">
        <f>[1]!'1235.TW-Time'</f>
        <v>09:58:17</v>
      </c>
    </row>
    <row r="27" spans="1:15" x14ac:dyDescent="0.25">
      <c r="A27" t="str">
        <f>[1]!'1236.TW-ID'</f>
        <v>1236</v>
      </c>
      <c r="B27" t="str">
        <f>[1]!'1236.TW-Name'</f>
        <v>宏亞</v>
      </c>
      <c r="C27">
        <f>[1]!'1236.TW-Price'</f>
        <v>13.9</v>
      </c>
      <c r="D27">
        <f>[1]!'1236.TW-AvgPrice'</f>
        <v>13.9</v>
      </c>
      <c r="E27">
        <f>[1]!'1236.TW-PriceChangeRatio'</f>
        <v>0</v>
      </c>
      <c r="F27" t="str">
        <f>[1]!'1236.TW-InOutRatioNumber'</f>
        <v>--</v>
      </c>
      <c r="G27">
        <f>[1]!'1236.TW-PreTotalVolumeRate'</f>
        <v>0.22</v>
      </c>
      <c r="H27">
        <f>[1]!'1236.TW-VolumeRatio'</f>
        <v>0</v>
      </c>
      <c r="I27">
        <f>[1]!'1236.TW-5DayAvgVol'</f>
        <v>16</v>
      </c>
      <c r="J27">
        <f>[1]!'1236.TW-DXLOrderOutValueRatio'</f>
        <v>0</v>
      </c>
      <c r="K27">
        <f>[1]!'1236.TW-DXLOrderValueDiffRatio'</f>
        <v>0</v>
      </c>
      <c r="L27">
        <f>[1]!'1236.TW-DLOrderValueDiffRatio'</f>
        <v>0</v>
      </c>
      <c r="M27" t="str">
        <f>[1]!'1236.TW-ExchangeIndustry'</f>
        <v>上市食品</v>
      </c>
      <c r="N27" t="str">
        <f>[1]!'1236.TW-Capital'</f>
        <v>10.83</v>
      </c>
      <c r="O27" t="str">
        <f>[1]!'1236.TW-Time'</f>
        <v>09:00:06</v>
      </c>
    </row>
    <row r="28" spans="1:15" x14ac:dyDescent="0.25">
      <c r="A28" t="str">
        <f>[1]!'1256.TW-ID'</f>
        <v>1256</v>
      </c>
      <c r="B28" t="str">
        <f>[1]!'1256.TW-Name'</f>
        <v>鮮活果汁-KY</v>
      </c>
      <c r="C28">
        <f>[1]!'1256.TW-Price'</f>
        <v>368.5</v>
      </c>
      <c r="D28">
        <f>[1]!'1256.TW-AvgPrice'</f>
        <v>368.5</v>
      </c>
      <c r="E28">
        <f>[1]!'1256.TW-PriceChangeRatio'</f>
        <v>-0.41</v>
      </c>
      <c r="F28" t="str">
        <f>[1]!'1256.TW-InOutRatioNumber'</f>
        <v>--</v>
      </c>
      <c r="G28">
        <f>[1]!'1256.TW-PreTotalVolumeRate'</f>
        <v>0.03</v>
      </c>
      <c r="H28">
        <f>[1]!'1256.TW-VolumeRatio'</f>
        <v>0</v>
      </c>
      <c r="I28">
        <f>[1]!'1256.TW-5DayAvgVol'</f>
        <v>34</v>
      </c>
      <c r="J28">
        <f>[1]!'1256.TW-DXLOrderOutValueRatio'</f>
        <v>0</v>
      </c>
      <c r="K28">
        <f>[1]!'1256.TW-DXLOrderValueDiffRatio'</f>
        <v>0</v>
      </c>
      <c r="L28">
        <f>[1]!'1256.TW-DLOrderValueDiffRatio'</f>
        <v>0</v>
      </c>
      <c r="M28" t="str">
        <f>[1]!'1256.TW-ExchangeIndustry'</f>
        <v>上市食品</v>
      </c>
      <c r="N28" t="str">
        <f>[1]!'1256.TW-Capital'</f>
        <v>3.38</v>
      </c>
      <c r="O28" t="str">
        <f>[1]!'1256.TW-Time'</f>
        <v>09:00:01</v>
      </c>
    </row>
    <row r="29" spans="1:15" x14ac:dyDescent="0.25">
      <c r="A29" t="str">
        <f>[1]!'1702.TW-ID'</f>
        <v>1702</v>
      </c>
      <c r="B29" t="str">
        <f>[1]!'1702.TW-Name'</f>
        <v>南僑</v>
      </c>
      <c r="C29">
        <f>[1]!'1702.TW-Price'</f>
        <v>49.95</v>
      </c>
      <c r="D29">
        <f>[1]!'1702.TW-AvgPrice'</f>
        <v>49.87</v>
      </c>
      <c r="E29">
        <f>[1]!'1702.TW-PriceChangeRatio'</f>
        <v>0.2</v>
      </c>
      <c r="F29" t="str">
        <f>[1]!'1702.TW-InOutRatioNumber'</f>
        <v>63.27%</v>
      </c>
      <c r="G29">
        <f>[1]!'1702.TW-PreTotalVolumeRate'</f>
        <v>0.28000000000000003</v>
      </c>
      <c r="H29">
        <f>[1]!'1702.TW-VolumeRatio'</f>
        <v>0.68</v>
      </c>
      <c r="I29">
        <f>[1]!'1702.TW-5DayAvgVol'</f>
        <v>462</v>
      </c>
      <c r="J29">
        <f>[1]!'1702.TW-DXLOrderOutValueRatio'</f>
        <v>0</v>
      </c>
      <c r="K29">
        <f>[1]!'1702.TW-DXLOrderValueDiffRatio'</f>
        <v>0</v>
      </c>
      <c r="L29">
        <f>[1]!'1702.TW-DLOrderValueDiffRatio'</f>
        <v>19.100000000000001</v>
      </c>
      <c r="M29" t="str">
        <f>[1]!'1702.TW-ExchangeIndustry'</f>
        <v>上市食品</v>
      </c>
      <c r="N29" t="str">
        <f>[1]!'1702.TW-Capital'</f>
        <v>29.41</v>
      </c>
      <c r="O29" t="str">
        <f>[1]!'1702.TW-Time'</f>
        <v>10:09:30</v>
      </c>
    </row>
    <row r="30" spans="1:15" x14ac:dyDescent="0.25">
      <c r="A30" t="str">
        <f>[1]!'1737.TW-ID'</f>
        <v>1737</v>
      </c>
      <c r="B30" t="str">
        <f>[1]!'1737.TW-Name'</f>
        <v>臺鹽</v>
      </c>
      <c r="C30">
        <f>[1]!'1737.TW-Price'</f>
        <v>33.950000000000003</v>
      </c>
      <c r="D30">
        <f>[1]!'1737.TW-AvgPrice'</f>
        <v>33.89</v>
      </c>
      <c r="E30">
        <f>[1]!'1737.TW-PriceChangeRatio'</f>
        <v>0.44</v>
      </c>
      <c r="F30" t="str">
        <f>[1]!'1737.TW-InOutRatioNumber'</f>
        <v>48.30%</v>
      </c>
      <c r="G30">
        <f>[1]!'1737.TW-PreTotalVolumeRate'</f>
        <v>0.38</v>
      </c>
      <c r="H30">
        <f>[1]!'1737.TW-VolumeRatio'</f>
        <v>1.1399999999999999</v>
      </c>
      <c r="I30">
        <f>[1]!'1737.TW-5DayAvgVol'</f>
        <v>558</v>
      </c>
      <c r="J30">
        <f>[1]!'1737.TW-DXLOrderOutValueRatio'</f>
        <v>0</v>
      </c>
      <c r="K30">
        <f>[1]!'1737.TW-DXLOrderValueDiffRatio'</f>
        <v>0</v>
      </c>
      <c r="L30">
        <f>[1]!'1737.TW-DLOrderValueDiffRatio'</f>
        <v>-23.31</v>
      </c>
      <c r="M30" t="str">
        <f>[1]!'1737.TW-ExchangeIndustry'</f>
        <v>上市食品</v>
      </c>
      <c r="N30" t="str">
        <f>[1]!'1737.TW-Capital'</f>
        <v>20.00</v>
      </c>
      <c r="O30" t="str">
        <f>[1]!'1737.TW-Time'</f>
        <v>10:13:39</v>
      </c>
    </row>
    <row r="31" spans="1:15" x14ac:dyDescent="0.25">
      <c r="A31" t="str">
        <f>[1]!'1301.TW-ID'</f>
        <v>1301</v>
      </c>
      <c r="B31" t="str">
        <f>[1]!'1301.TW-Name'</f>
        <v>台塑</v>
      </c>
      <c r="C31">
        <f>[1]!'1301.TW-Price'</f>
        <v>114</v>
      </c>
      <c r="D31">
        <f>[1]!'1301.TW-AvgPrice'</f>
        <v>114.46</v>
      </c>
      <c r="E31">
        <f>[1]!'1301.TW-PriceChangeRatio'</f>
        <v>-0.44</v>
      </c>
      <c r="F31" t="str">
        <f>[1]!'1301.TW-InOutRatioNumber'</f>
        <v>50.54%</v>
      </c>
      <c r="G31">
        <f>[1]!'1301.TW-PreTotalVolumeRate'</f>
        <v>0.38</v>
      </c>
      <c r="H31">
        <f>[1]!'1301.TW-VolumeRatio'</f>
        <v>0.82</v>
      </c>
      <c r="I31">
        <f>[1]!'1301.TW-5DayAvgVol'</f>
        <v>14532</v>
      </c>
      <c r="J31">
        <f>[1]!'1301.TW-DXLOrderOutValueRatio'</f>
        <v>30.48</v>
      </c>
      <c r="K31">
        <f>[1]!'1301.TW-DXLOrderValueDiffRatio'</f>
        <v>0.8</v>
      </c>
      <c r="L31">
        <f>[1]!'1301.TW-DLOrderValueDiffRatio'</f>
        <v>-2.78</v>
      </c>
      <c r="M31" t="str">
        <f>[1]!'1301.TW-ExchangeIndustry'</f>
        <v>上市塑膠</v>
      </c>
      <c r="N31" t="str">
        <f>[1]!'1301.TW-Capital'</f>
        <v>636.57</v>
      </c>
      <c r="O31" t="str">
        <f>[1]!'1301.TW-Time'</f>
        <v>10:15:07</v>
      </c>
    </row>
    <row r="32" spans="1:15" x14ac:dyDescent="0.25">
      <c r="A32" t="str">
        <f>[1]!'1303.TW-ID'</f>
        <v>1303</v>
      </c>
      <c r="B32" t="str">
        <f>[1]!'1303.TW-Name'</f>
        <v>南亞</v>
      </c>
      <c r="C32">
        <f>[1]!'1303.TW-Price'</f>
        <v>89</v>
      </c>
      <c r="D32">
        <f>[1]!'1303.TW-AvgPrice'</f>
        <v>89.32</v>
      </c>
      <c r="E32">
        <f>[1]!'1303.TW-PriceChangeRatio'</f>
        <v>-0.22</v>
      </c>
      <c r="F32" t="str">
        <f>[1]!'1303.TW-InOutRatioNumber'</f>
        <v>42.93%</v>
      </c>
      <c r="G32">
        <f>[1]!'1303.TW-PreTotalVolumeRate'</f>
        <v>0.19</v>
      </c>
      <c r="H32">
        <f>[1]!'1303.TW-VolumeRatio'</f>
        <v>0.41</v>
      </c>
      <c r="I32">
        <f>[1]!'1303.TW-5DayAvgVol'</f>
        <v>8643</v>
      </c>
      <c r="J32">
        <f>[1]!'1303.TW-DXLOrderOutValueRatio'</f>
        <v>13.28</v>
      </c>
      <c r="K32">
        <f>[1]!'1303.TW-DXLOrderValueDiffRatio'</f>
        <v>-7.75</v>
      </c>
      <c r="L32">
        <f>[1]!'1303.TW-DLOrderValueDiffRatio'</f>
        <v>0.09</v>
      </c>
      <c r="M32" t="str">
        <f>[1]!'1303.TW-ExchangeIndustry'</f>
        <v>上市塑膠</v>
      </c>
      <c r="N32" t="str">
        <f>[1]!'1303.TW-Capital'</f>
        <v>793.08</v>
      </c>
      <c r="O32" t="str">
        <f>[1]!'1303.TW-Time'</f>
        <v>10:15:14</v>
      </c>
    </row>
    <row r="33" spans="1:15" x14ac:dyDescent="0.25">
      <c r="A33" t="str">
        <f>[1]!'1304.TW-ID'</f>
        <v>1304</v>
      </c>
      <c r="B33" t="str">
        <f>[1]!'1304.TW-Name'</f>
        <v>台聚</v>
      </c>
      <c r="C33">
        <f>[1]!'1304.TW-Price'</f>
        <v>37.35</v>
      </c>
      <c r="D33">
        <f>[1]!'1304.TW-AvgPrice'</f>
        <v>37.92</v>
      </c>
      <c r="E33">
        <f>[1]!'1304.TW-PriceChangeRatio'</f>
        <v>1.36</v>
      </c>
      <c r="F33" t="str">
        <f>[1]!'1304.TW-InOutRatioNumber'</f>
        <v>46.12%</v>
      </c>
      <c r="G33">
        <f>[1]!'1304.TW-PreTotalVolumeRate'</f>
        <v>0.84</v>
      </c>
      <c r="H33">
        <f>[1]!'1304.TW-VolumeRatio'</f>
        <v>1.6</v>
      </c>
      <c r="I33">
        <f>[1]!'1304.TW-5DayAvgVol'</f>
        <v>30053</v>
      </c>
      <c r="J33">
        <f>[1]!'1304.TW-DXLOrderOutValueRatio'</f>
        <v>15.42</v>
      </c>
      <c r="K33">
        <f>[1]!'1304.TW-DXLOrderValueDiffRatio'</f>
        <v>-3.76</v>
      </c>
      <c r="L33">
        <f>[1]!'1304.TW-DLOrderValueDiffRatio'</f>
        <v>-5.3</v>
      </c>
      <c r="M33" t="str">
        <f>[1]!'1304.TW-ExchangeIndustry'</f>
        <v>上市塑膠</v>
      </c>
      <c r="N33" t="str">
        <f>[1]!'1304.TW-Capital'</f>
        <v>118.88</v>
      </c>
      <c r="O33" t="str">
        <f>[1]!'1304.TW-Time'</f>
        <v>10:15:17</v>
      </c>
    </row>
    <row r="34" spans="1:15" x14ac:dyDescent="0.25">
      <c r="A34" t="str">
        <f>[1]!'1305.TW-ID'</f>
        <v>1305</v>
      </c>
      <c r="B34" t="str">
        <f>[1]!'1305.TW-Name'</f>
        <v>華夏</v>
      </c>
      <c r="C34">
        <f>[1]!'1305.TW-Price'</f>
        <v>39.950000000000003</v>
      </c>
      <c r="D34">
        <f>[1]!'1305.TW-AvgPrice'</f>
        <v>40.549999999999997</v>
      </c>
      <c r="E34">
        <f>[1]!'1305.TW-PriceChangeRatio'</f>
        <v>1.52</v>
      </c>
      <c r="F34" t="str">
        <f>[1]!'1305.TW-InOutRatioNumber'</f>
        <v>44.53%</v>
      </c>
      <c r="G34">
        <f>[1]!'1305.TW-PreTotalVolumeRate'</f>
        <v>0.72</v>
      </c>
      <c r="H34">
        <f>[1]!'1305.TW-VolumeRatio'</f>
        <v>1.34</v>
      </c>
      <c r="I34">
        <f>[1]!'1305.TW-5DayAvgVol'</f>
        <v>31277</v>
      </c>
      <c r="J34">
        <f>[1]!'1305.TW-DXLOrderOutValueRatio'</f>
        <v>17.04</v>
      </c>
      <c r="K34">
        <f>[1]!'1305.TW-DXLOrderValueDiffRatio'</f>
        <v>-2.27</v>
      </c>
      <c r="L34">
        <f>[1]!'1305.TW-DLOrderValueDiffRatio'</f>
        <v>-4.7</v>
      </c>
      <c r="M34" t="str">
        <f>[1]!'1305.TW-ExchangeIndustry'</f>
        <v>上市塑膠</v>
      </c>
      <c r="N34" t="str">
        <f>[1]!'1305.TW-Capital'</f>
        <v>58.11</v>
      </c>
      <c r="O34" t="str">
        <f>[1]!'1305.TW-Time'</f>
        <v>10:15:10</v>
      </c>
    </row>
    <row r="35" spans="1:15" x14ac:dyDescent="0.25">
      <c r="A35" t="str">
        <f>[1]!'1307.TW-ID'</f>
        <v>1307</v>
      </c>
      <c r="B35" t="str">
        <f>[1]!'1307.TW-Name'</f>
        <v>三芳</v>
      </c>
      <c r="C35">
        <f>[1]!'1307.TW-Price'</f>
        <v>21.95</v>
      </c>
      <c r="D35">
        <f>[1]!'1307.TW-AvgPrice'</f>
        <v>21.89</v>
      </c>
      <c r="E35">
        <f>[1]!'1307.TW-PriceChangeRatio'</f>
        <v>0.69</v>
      </c>
      <c r="F35" t="str">
        <f>[1]!'1307.TW-InOutRatioNumber'</f>
        <v>78.26%</v>
      </c>
      <c r="G35">
        <f>[1]!'1307.TW-PreTotalVolumeRate'</f>
        <v>0.17</v>
      </c>
      <c r="H35">
        <f>[1]!'1307.TW-VolumeRatio'</f>
        <v>0.6</v>
      </c>
      <c r="I35">
        <f>[1]!'1307.TW-5DayAvgVol'</f>
        <v>97</v>
      </c>
      <c r="J35">
        <f>[1]!'1307.TW-DXLOrderOutValueRatio'</f>
        <v>0</v>
      </c>
      <c r="K35">
        <f>[1]!'1307.TW-DXLOrderValueDiffRatio'</f>
        <v>0</v>
      </c>
      <c r="L35">
        <f>[1]!'1307.TW-DLOrderValueDiffRatio'</f>
        <v>0</v>
      </c>
      <c r="M35" t="str">
        <f>[1]!'1307.TW-ExchangeIndustry'</f>
        <v>上市塑膠</v>
      </c>
      <c r="N35" t="str">
        <f>[1]!'1307.TW-Capital'</f>
        <v>39.78</v>
      </c>
      <c r="O35" t="str">
        <f>[1]!'1307.TW-Time'</f>
        <v>10:12:09</v>
      </c>
    </row>
    <row r="36" spans="1:15" x14ac:dyDescent="0.25">
      <c r="A36" t="str">
        <f>[1]!'1308.TW-ID'</f>
        <v>1308</v>
      </c>
      <c r="B36" t="str">
        <f>[1]!'1308.TW-Name'</f>
        <v>亞聚</v>
      </c>
      <c r="C36">
        <f>[1]!'1308.TW-Price'</f>
        <v>43.6</v>
      </c>
      <c r="D36">
        <f>[1]!'1308.TW-AvgPrice'</f>
        <v>44.11</v>
      </c>
      <c r="E36">
        <f>[1]!'1308.TW-PriceChangeRatio'</f>
        <v>0</v>
      </c>
      <c r="F36" t="str">
        <f>[1]!'1308.TW-InOutRatioNumber'</f>
        <v>42.64%</v>
      </c>
      <c r="G36">
        <f>[1]!'1308.TW-PreTotalVolumeRate'</f>
        <v>0.74</v>
      </c>
      <c r="H36">
        <f>[1]!'1308.TW-VolumeRatio'</f>
        <v>1.43</v>
      </c>
      <c r="I36">
        <f>[1]!'1308.TW-5DayAvgVol'</f>
        <v>46255</v>
      </c>
      <c r="J36">
        <f>[1]!'1308.TW-DXLOrderOutValueRatio'</f>
        <v>15.85</v>
      </c>
      <c r="K36">
        <f>[1]!'1308.TW-DXLOrderValueDiffRatio'</f>
        <v>-9.7899999999999991</v>
      </c>
      <c r="L36">
        <f>[1]!'1308.TW-DLOrderValueDiffRatio'</f>
        <v>-3.48</v>
      </c>
      <c r="M36" t="str">
        <f>[1]!'1308.TW-ExchangeIndustry'</f>
        <v>上市塑膠</v>
      </c>
      <c r="N36" t="str">
        <f>[1]!'1308.TW-Capital'</f>
        <v>59.37</v>
      </c>
      <c r="O36" t="str">
        <f>[1]!'1308.TW-Time'</f>
        <v>10:15:17</v>
      </c>
    </row>
    <row r="37" spans="1:15" x14ac:dyDescent="0.25">
      <c r="A37" t="str">
        <f>[1]!'1309.TW-ID'</f>
        <v>1309</v>
      </c>
      <c r="B37" t="str">
        <f>[1]!'1309.TW-Name'</f>
        <v>台達化</v>
      </c>
      <c r="C37">
        <f>[1]!'1309.TW-Price'</f>
        <v>36.049999999999997</v>
      </c>
      <c r="D37">
        <f>[1]!'1309.TW-AvgPrice'</f>
        <v>36.18</v>
      </c>
      <c r="E37">
        <f>[1]!'1309.TW-PriceChangeRatio'</f>
        <v>1.55</v>
      </c>
      <c r="F37" t="str">
        <f>[1]!'1309.TW-InOutRatioNumber'</f>
        <v>52.87%</v>
      </c>
      <c r="G37">
        <f>[1]!'1309.TW-PreTotalVolumeRate'</f>
        <v>0.9</v>
      </c>
      <c r="H37">
        <f>[1]!'1309.TW-VolumeRatio'</f>
        <v>1.85</v>
      </c>
      <c r="I37">
        <f>[1]!'1309.TW-5DayAvgVol'</f>
        <v>2377</v>
      </c>
      <c r="J37">
        <f>[1]!'1309.TW-DXLOrderOutValueRatio'</f>
        <v>5.94</v>
      </c>
      <c r="K37">
        <f>[1]!'1309.TW-DXLOrderValueDiffRatio'</f>
        <v>-1.88</v>
      </c>
      <c r="L37">
        <f>[1]!'1309.TW-DLOrderValueDiffRatio'</f>
        <v>4.58</v>
      </c>
      <c r="M37" t="str">
        <f>[1]!'1309.TW-ExchangeIndustry'</f>
        <v>上市塑膠</v>
      </c>
      <c r="N37" t="str">
        <f>[1]!'1309.TW-Capital'</f>
        <v>37.87</v>
      </c>
      <c r="O37" t="str">
        <f>[1]!'1309.TW-Time'</f>
        <v>10:15:10</v>
      </c>
    </row>
    <row r="38" spans="1:15" x14ac:dyDescent="0.25">
      <c r="A38" t="str">
        <f>[1]!'1310.TW-ID'</f>
        <v>1310</v>
      </c>
      <c r="B38" t="str">
        <f>[1]!'1310.TW-Name'</f>
        <v>台苯</v>
      </c>
      <c r="C38">
        <f>[1]!'1310.TW-Price'</f>
        <v>18.5</v>
      </c>
      <c r="D38">
        <f>[1]!'1310.TW-AvgPrice'</f>
        <v>18.47</v>
      </c>
      <c r="E38">
        <f>[1]!'1310.TW-PriceChangeRatio'</f>
        <v>1.65</v>
      </c>
      <c r="F38" t="str">
        <f>[1]!'1310.TW-InOutRatioNumber'</f>
        <v>78.69%</v>
      </c>
      <c r="G38">
        <f>[1]!'1310.TW-PreTotalVolumeRate'</f>
        <v>0.33</v>
      </c>
      <c r="H38">
        <f>[1]!'1310.TW-VolumeRatio'</f>
        <v>0.75</v>
      </c>
      <c r="I38">
        <f>[1]!'1310.TW-5DayAvgVol'</f>
        <v>3318</v>
      </c>
      <c r="J38">
        <f>[1]!'1310.TW-DXLOrderOutValueRatio'</f>
        <v>44.9</v>
      </c>
      <c r="K38">
        <f>[1]!'1310.TW-DXLOrderValueDiffRatio'</f>
        <v>44.9</v>
      </c>
      <c r="L38">
        <f>[1]!'1310.TW-DLOrderValueDiffRatio'</f>
        <v>1.81</v>
      </c>
      <c r="M38" t="str">
        <f>[1]!'1310.TW-ExchangeIndustry'</f>
        <v>上市塑膠</v>
      </c>
      <c r="N38" t="str">
        <f>[1]!'1310.TW-Capital'</f>
        <v>52.79</v>
      </c>
      <c r="O38" t="str">
        <f>[1]!'1310.TW-Time'</f>
        <v>10:15:13</v>
      </c>
    </row>
    <row r="39" spans="1:15" x14ac:dyDescent="0.25">
      <c r="A39" t="str">
        <f>[1]!'1312.TW-ID'</f>
        <v>1312</v>
      </c>
      <c r="B39" t="str">
        <f>[1]!'1312.TW-Name'</f>
        <v>國喬</v>
      </c>
      <c r="C39">
        <f>[1]!'1312.TW-Price'</f>
        <v>27.75</v>
      </c>
      <c r="D39">
        <f>[1]!'1312.TW-AvgPrice'</f>
        <v>27.78</v>
      </c>
      <c r="E39">
        <f>[1]!'1312.TW-PriceChangeRatio'</f>
        <v>2.02</v>
      </c>
      <c r="F39" t="str">
        <f>[1]!'1312.TW-InOutRatioNumber'</f>
        <v>62.60%</v>
      </c>
      <c r="G39">
        <f>[1]!'1312.TW-PreTotalVolumeRate'</f>
        <v>0.85</v>
      </c>
      <c r="H39">
        <f>[1]!'1312.TW-VolumeRatio'</f>
        <v>1.84</v>
      </c>
      <c r="I39">
        <f>[1]!'1312.TW-5DayAvgVol'</f>
        <v>6794</v>
      </c>
      <c r="J39">
        <f>[1]!'1312.TW-DXLOrderOutValueRatio'</f>
        <v>19.34</v>
      </c>
      <c r="K39">
        <f>[1]!'1312.TW-DXLOrderValueDiffRatio'</f>
        <v>7.47</v>
      </c>
      <c r="L39">
        <f>[1]!'1312.TW-DLOrderValueDiffRatio'</f>
        <v>10.220000000000001</v>
      </c>
      <c r="M39" t="str">
        <f>[1]!'1312.TW-ExchangeIndustry'</f>
        <v>上市塑膠</v>
      </c>
      <c r="N39" t="str">
        <f>[1]!'1312.TW-Capital'</f>
        <v>90.66</v>
      </c>
      <c r="O39" t="str">
        <f>[1]!'1312.TW-Time'</f>
        <v>10:14:08</v>
      </c>
    </row>
    <row r="40" spans="1:15" x14ac:dyDescent="0.25">
      <c r="A40" t="str">
        <f>[1]!'1313.TW-ID'</f>
        <v>1313</v>
      </c>
      <c r="B40" t="str">
        <f>[1]!'1313.TW-Name'</f>
        <v>聯成</v>
      </c>
      <c r="C40">
        <f>[1]!'1313.TW-Price'</f>
        <v>24.15</v>
      </c>
      <c r="D40">
        <f>[1]!'1313.TW-AvgPrice'</f>
        <v>24.25</v>
      </c>
      <c r="E40">
        <f>[1]!'1313.TW-PriceChangeRatio'</f>
        <v>1.9</v>
      </c>
      <c r="F40" t="str">
        <f>[1]!'1313.TW-InOutRatioNumber'</f>
        <v>56.26%</v>
      </c>
      <c r="G40">
        <f>[1]!'1313.TW-PreTotalVolumeRate'</f>
        <v>1.36</v>
      </c>
      <c r="H40">
        <f>[1]!'1313.TW-VolumeRatio'</f>
        <v>2.7</v>
      </c>
      <c r="I40">
        <f>[1]!'1313.TW-5DayAvgVol'</f>
        <v>7992</v>
      </c>
      <c r="J40">
        <f>[1]!'1313.TW-DXLOrderOutValueRatio'</f>
        <v>21.97</v>
      </c>
      <c r="K40">
        <f>[1]!'1313.TW-DXLOrderValueDiffRatio'</f>
        <v>13.52</v>
      </c>
      <c r="L40">
        <f>[1]!'1313.TW-DLOrderValueDiffRatio'</f>
        <v>1.06</v>
      </c>
      <c r="M40" t="str">
        <f>[1]!'1313.TW-ExchangeIndustry'</f>
        <v>上市塑膠</v>
      </c>
      <c r="N40" t="str">
        <f>[1]!'1313.TW-Capital'</f>
        <v>134.71</v>
      </c>
      <c r="O40" t="str">
        <f>[1]!'1313.TW-Time'</f>
        <v>10:14:44</v>
      </c>
    </row>
    <row r="41" spans="1:15" x14ac:dyDescent="0.25">
      <c r="A41" t="str">
        <f>[1]!'1314.TW-ID'</f>
        <v>1314</v>
      </c>
      <c r="B41" t="str">
        <f>[1]!'1314.TW-Name'</f>
        <v>中石化</v>
      </c>
      <c r="C41">
        <f>[1]!'1314.TW-Price'</f>
        <v>12.4</v>
      </c>
      <c r="D41">
        <f>[1]!'1314.TW-AvgPrice'</f>
        <v>12.33</v>
      </c>
      <c r="E41">
        <f>[1]!'1314.TW-PriceChangeRatio'</f>
        <v>2.9</v>
      </c>
      <c r="F41" t="str">
        <f>[1]!'1314.TW-InOutRatioNumber'</f>
        <v>63.43%</v>
      </c>
      <c r="G41">
        <f>[1]!'1314.TW-PreTotalVolumeRate'</f>
        <v>1.21</v>
      </c>
      <c r="H41">
        <f>[1]!'1314.TW-VolumeRatio'</f>
        <v>3.13</v>
      </c>
      <c r="I41">
        <f>[1]!'1314.TW-5DayAvgVol'</f>
        <v>17754</v>
      </c>
      <c r="J41">
        <f>[1]!'1314.TW-DXLOrderOutValueRatio'</f>
        <v>37.450000000000003</v>
      </c>
      <c r="K41">
        <f>[1]!'1314.TW-DXLOrderValueDiffRatio'</f>
        <v>23.16</v>
      </c>
      <c r="L41">
        <f>[1]!'1314.TW-DLOrderValueDiffRatio'</f>
        <v>0.79</v>
      </c>
      <c r="M41" t="str">
        <f>[1]!'1314.TW-ExchangeIndustry'</f>
        <v>上市塑膠</v>
      </c>
      <c r="N41" t="str">
        <f>[1]!'1314.TW-Capital'</f>
        <v>328.49</v>
      </c>
      <c r="O41" t="str">
        <f>[1]!'1314.TW-Time'</f>
        <v>10:14:35</v>
      </c>
    </row>
    <row r="42" spans="1:15" x14ac:dyDescent="0.25">
      <c r="A42" t="str">
        <f>[1]!'1315.TW-ID'</f>
        <v>1315</v>
      </c>
      <c r="B42" t="str">
        <f>[1]!'1315.TW-Name'</f>
        <v>達新</v>
      </c>
      <c r="C42">
        <f>[1]!'1315.TW-Price'</f>
        <v>60.6</v>
      </c>
      <c r="D42">
        <f>[1]!'1315.TW-AvgPrice'</f>
        <v>61.15</v>
      </c>
      <c r="E42">
        <f>[1]!'1315.TW-PriceChangeRatio'</f>
        <v>-0.66</v>
      </c>
      <c r="F42" t="str">
        <f>[1]!'1315.TW-InOutRatioNumber'</f>
        <v>50.00%</v>
      </c>
      <c r="G42">
        <f>[1]!'1315.TW-PreTotalVolumeRate'</f>
        <v>0.06</v>
      </c>
      <c r="H42">
        <f>[1]!'1315.TW-VolumeRatio'</f>
        <v>0.34</v>
      </c>
      <c r="I42">
        <f>[1]!'1315.TW-5DayAvgVol'</f>
        <v>28</v>
      </c>
      <c r="J42">
        <f>[1]!'1315.TW-DXLOrderOutValueRatio'</f>
        <v>0</v>
      </c>
      <c r="K42">
        <f>[1]!'1315.TW-DXLOrderValueDiffRatio'</f>
        <v>0</v>
      </c>
      <c r="L42">
        <f>[1]!'1315.TW-DLOrderValueDiffRatio'</f>
        <v>0</v>
      </c>
      <c r="M42" t="str">
        <f>[1]!'1315.TW-ExchangeIndustry'</f>
        <v>上市塑膠</v>
      </c>
      <c r="N42" t="str">
        <f>[1]!'1315.TW-Capital'</f>
        <v>13.86</v>
      </c>
      <c r="O42" t="str">
        <f>[1]!'1315.TW-Time'</f>
        <v>09:08:46</v>
      </c>
    </row>
    <row r="43" spans="1:15" x14ac:dyDescent="0.25">
      <c r="A43" t="str">
        <f>[1]!'1321.TW-ID'</f>
        <v>1321</v>
      </c>
      <c r="B43" t="str">
        <f>[1]!'1321.TW-Name'</f>
        <v>大洋</v>
      </c>
      <c r="C43">
        <f>[1]!'1321.TW-Price'</f>
        <v>33.200000000000003</v>
      </c>
      <c r="D43">
        <f>[1]!'1321.TW-AvgPrice'</f>
        <v>33.119999999999997</v>
      </c>
      <c r="E43">
        <f>[1]!'1321.TW-PriceChangeRatio'</f>
        <v>0.15</v>
      </c>
      <c r="F43" t="str">
        <f>[1]!'1321.TW-InOutRatioNumber'</f>
        <v>0.00%</v>
      </c>
      <c r="G43">
        <f>[1]!'1321.TW-PreTotalVolumeRate'</f>
        <v>0.06</v>
      </c>
      <c r="H43">
        <f>[1]!'1321.TW-VolumeRatio'</f>
        <v>0.17</v>
      </c>
      <c r="I43">
        <f>[1]!'1321.TW-5DayAvgVol'</f>
        <v>228</v>
      </c>
      <c r="J43">
        <f>[1]!'1321.TW-DXLOrderOutValueRatio'</f>
        <v>0</v>
      </c>
      <c r="K43">
        <f>[1]!'1321.TW-DXLOrderValueDiffRatio'</f>
        <v>0</v>
      </c>
      <c r="L43">
        <f>[1]!'1321.TW-DLOrderValueDiffRatio'</f>
        <v>0</v>
      </c>
      <c r="M43" t="str">
        <f>[1]!'1321.TW-ExchangeIndustry'</f>
        <v>上市塑膠</v>
      </c>
      <c r="N43" t="str">
        <f>[1]!'1321.TW-Capital'</f>
        <v>22.72</v>
      </c>
      <c r="O43" t="str">
        <f>[1]!'1321.TW-Time'</f>
        <v>10:13:44</v>
      </c>
    </row>
    <row r="44" spans="1:15" x14ac:dyDescent="0.25">
      <c r="A44" t="str">
        <f>[1]!'1323.TW-ID'</f>
        <v>1323</v>
      </c>
      <c r="B44" t="str">
        <f>[1]!'1323.TW-Name'</f>
        <v>永裕</v>
      </c>
      <c r="C44">
        <f>[1]!'1323.TW-Price'</f>
        <v>35.65</v>
      </c>
      <c r="D44">
        <f>[1]!'1323.TW-AvgPrice'</f>
        <v>35.549999999999997</v>
      </c>
      <c r="E44">
        <f>[1]!'1323.TW-PriceChangeRatio'</f>
        <v>0.42</v>
      </c>
      <c r="F44" t="str">
        <f>[1]!'1323.TW-InOutRatioNumber'</f>
        <v>69.81%</v>
      </c>
      <c r="G44">
        <f>[1]!'1323.TW-PreTotalVolumeRate'</f>
        <v>0.26</v>
      </c>
      <c r="H44">
        <f>[1]!'1323.TW-VolumeRatio'</f>
        <v>1.53</v>
      </c>
      <c r="I44">
        <f>[1]!'1323.TW-5DayAvgVol'</f>
        <v>348</v>
      </c>
      <c r="J44">
        <f>[1]!'1323.TW-DXLOrderOutValueRatio'</f>
        <v>0</v>
      </c>
      <c r="K44">
        <f>[1]!'1323.TW-DXLOrderValueDiffRatio'</f>
        <v>0</v>
      </c>
      <c r="L44">
        <f>[1]!'1323.TW-DLOrderValueDiffRatio'</f>
        <v>0</v>
      </c>
      <c r="M44" t="str">
        <f>[1]!'1323.TW-ExchangeIndustry'</f>
        <v>上市塑膠</v>
      </c>
      <c r="N44" t="str">
        <f>[1]!'1323.TW-Capital'</f>
        <v>9.13</v>
      </c>
      <c r="O44" t="str">
        <f>[1]!'1323.TW-Time'</f>
        <v>10:15:18</v>
      </c>
    </row>
    <row r="45" spans="1:15" x14ac:dyDescent="0.25">
      <c r="A45" t="str">
        <f>[1]!'1324.TW-ID'</f>
        <v>1324</v>
      </c>
      <c r="B45" t="str">
        <f>[1]!'1324.TW-Name'</f>
        <v>地球</v>
      </c>
      <c r="C45">
        <f>[1]!'1324.TW-Price'</f>
        <v>11.25</v>
      </c>
      <c r="D45">
        <f>[1]!'1324.TW-AvgPrice'</f>
        <v>11.22</v>
      </c>
      <c r="E45">
        <f>[1]!'1324.TW-PriceChangeRatio'</f>
        <v>0.9</v>
      </c>
      <c r="F45" t="str">
        <f>[1]!'1324.TW-InOutRatioNumber'</f>
        <v>48.72%</v>
      </c>
      <c r="G45">
        <f>[1]!'1324.TW-PreTotalVolumeRate'</f>
        <v>0.27</v>
      </c>
      <c r="H45">
        <f>[1]!'1324.TW-VolumeRatio'</f>
        <v>1.95</v>
      </c>
      <c r="I45">
        <f>[1]!'1324.TW-5DayAvgVol'</f>
        <v>139</v>
      </c>
      <c r="J45">
        <f>[1]!'1324.TW-DXLOrderOutValueRatio'</f>
        <v>0</v>
      </c>
      <c r="K45">
        <f>[1]!'1324.TW-DXLOrderValueDiffRatio'</f>
        <v>0</v>
      </c>
      <c r="L45">
        <f>[1]!'1324.TW-DLOrderValueDiffRatio'</f>
        <v>0</v>
      </c>
      <c r="M45" t="str">
        <f>[1]!'1324.TW-ExchangeIndustry'</f>
        <v>上市塑膠</v>
      </c>
      <c r="N45" t="str">
        <f>[1]!'1324.TW-Capital'</f>
        <v>7.51</v>
      </c>
      <c r="O45" t="str">
        <f>[1]!'1324.TW-Time'</f>
        <v>10:11:55</v>
      </c>
    </row>
    <row r="46" spans="1:15" x14ac:dyDescent="0.25">
      <c r="A46" t="str">
        <f>[1]!'1325.TW-ID'</f>
        <v>1325</v>
      </c>
      <c r="B46" t="str">
        <f>[1]!'1325.TW-Name'</f>
        <v>恆大</v>
      </c>
      <c r="C46">
        <f>[1]!'1325.TW-Price'</f>
        <v>39.4</v>
      </c>
      <c r="D46">
        <f>[1]!'1325.TW-AvgPrice'</f>
        <v>39.619999999999997</v>
      </c>
      <c r="E46">
        <f>[1]!'1325.TW-PriceChangeRatio'</f>
        <v>-2.11</v>
      </c>
      <c r="F46" t="str">
        <f>[1]!'1325.TW-InOutRatioNumber'</f>
        <v>22.90%</v>
      </c>
      <c r="G46">
        <f>[1]!'1325.TW-PreTotalVolumeRate'</f>
        <v>0.61</v>
      </c>
      <c r="H46">
        <f>[1]!'1325.TW-VolumeRatio'</f>
        <v>1.39</v>
      </c>
      <c r="I46">
        <f>[1]!'1325.TW-5DayAvgVol'</f>
        <v>463</v>
      </c>
      <c r="J46">
        <f>[1]!'1325.TW-DXLOrderOutValueRatio'</f>
        <v>0</v>
      </c>
      <c r="K46">
        <f>[1]!'1325.TW-DXLOrderValueDiffRatio'</f>
        <v>0</v>
      </c>
      <c r="L46">
        <f>[1]!'1325.TW-DLOrderValueDiffRatio'</f>
        <v>6.02</v>
      </c>
      <c r="M46" t="str">
        <f>[1]!'1325.TW-ExchangeIndustry'</f>
        <v>上市塑膠</v>
      </c>
      <c r="N46" t="str">
        <f>[1]!'1325.TW-Capital'</f>
        <v>8.53</v>
      </c>
      <c r="O46" t="str">
        <f>[1]!'1325.TW-Time'</f>
        <v>10:11:44</v>
      </c>
    </row>
    <row r="47" spans="1:15" x14ac:dyDescent="0.25">
      <c r="A47" t="str">
        <f>[1]!'1326.TW-ID'</f>
        <v>1326</v>
      </c>
      <c r="B47" t="str">
        <f>[1]!'1326.TW-Name'</f>
        <v>台化</v>
      </c>
      <c r="C47">
        <f>[1]!'1326.TW-Price'</f>
        <v>82.8</v>
      </c>
      <c r="D47">
        <f>[1]!'1326.TW-AvgPrice'</f>
        <v>82.97</v>
      </c>
      <c r="E47">
        <f>[1]!'1326.TW-PriceChangeRatio'</f>
        <v>-0.12</v>
      </c>
      <c r="F47" t="str">
        <f>[1]!'1326.TW-InOutRatioNumber'</f>
        <v>55.49%</v>
      </c>
      <c r="G47">
        <f>[1]!'1326.TW-PreTotalVolumeRate'</f>
        <v>0.28000000000000003</v>
      </c>
      <c r="H47">
        <f>[1]!'1326.TW-VolumeRatio'</f>
        <v>0.59</v>
      </c>
      <c r="I47">
        <f>[1]!'1326.TW-5DayAvgVol'</f>
        <v>5548</v>
      </c>
      <c r="J47">
        <f>[1]!'1326.TW-DXLOrderOutValueRatio'</f>
        <v>25.86</v>
      </c>
      <c r="K47">
        <f>[1]!'1326.TW-DXLOrderValueDiffRatio'</f>
        <v>17.7</v>
      </c>
      <c r="L47">
        <f>[1]!'1326.TW-DLOrderValueDiffRatio'</f>
        <v>-3.04</v>
      </c>
      <c r="M47" t="str">
        <f>[1]!'1326.TW-ExchangeIndustry'</f>
        <v>上市塑膠</v>
      </c>
      <c r="N47" t="str">
        <f>[1]!'1326.TW-Capital'</f>
        <v>586.12</v>
      </c>
      <c r="O47" t="str">
        <f>[1]!'1326.TW-Time'</f>
        <v>10:13:44</v>
      </c>
    </row>
    <row r="48" spans="1:15" x14ac:dyDescent="0.25">
      <c r="A48" t="str">
        <f>[1]!'1337.TW-ID'</f>
        <v>1337</v>
      </c>
      <c r="B48" t="str">
        <f>[1]!'1337.TW-Name'</f>
        <v>再生-KY</v>
      </c>
      <c r="C48">
        <f>[1]!'1337.TW-Price'</f>
        <v>7.31</v>
      </c>
      <c r="D48">
        <f>[1]!'1337.TW-AvgPrice'</f>
        <v>7.22</v>
      </c>
      <c r="E48">
        <f>[1]!'1337.TW-PriceChangeRatio'</f>
        <v>2.96</v>
      </c>
      <c r="F48" t="str">
        <f>[1]!'1337.TW-InOutRatioNumber'</f>
        <v>84.39%</v>
      </c>
      <c r="G48">
        <f>[1]!'1337.TW-PreTotalVolumeRate'</f>
        <v>1.74</v>
      </c>
      <c r="H48">
        <f>[1]!'1337.TW-VolumeRatio'</f>
        <v>4.26</v>
      </c>
      <c r="I48">
        <f>[1]!'1337.TW-5DayAvgVol'</f>
        <v>398</v>
      </c>
      <c r="J48">
        <f>[1]!'1337.TW-DXLOrderOutValueRatio'</f>
        <v>0</v>
      </c>
      <c r="K48">
        <f>[1]!'1337.TW-DXLOrderValueDiffRatio'</f>
        <v>0</v>
      </c>
      <c r="L48">
        <f>[1]!'1337.TW-DLOrderValueDiffRatio'</f>
        <v>0</v>
      </c>
      <c r="M48" t="str">
        <f>[1]!'1337.TW-ExchangeIndustry'</f>
        <v>上市塑膠</v>
      </c>
      <c r="N48" t="str">
        <f>[1]!'1337.TW-Capital'</f>
        <v>26.90</v>
      </c>
      <c r="O48" t="str">
        <f>[1]!'1337.TW-Time'</f>
        <v>10:11:15</v>
      </c>
    </row>
    <row r="49" spans="1:15" x14ac:dyDescent="0.25">
      <c r="A49" t="str">
        <f>[1]!'1340.TW-ID'</f>
        <v>1340</v>
      </c>
      <c r="B49" t="str">
        <f>[1]!'1340.TW-Name'</f>
        <v>勝悅-KY</v>
      </c>
      <c r="C49">
        <f>[1]!'1340.TW-Price'</f>
        <v>10.35</v>
      </c>
      <c r="D49">
        <f>[1]!'1340.TW-AvgPrice'</f>
        <v>10.37</v>
      </c>
      <c r="E49">
        <f>[1]!'1340.TW-PriceChangeRatio'</f>
        <v>0.98</v>
      </c>
      <c r="F49" t="str">
        <f>[1]!'1340.TW-InOutRatioNumber'</f>
        <v>58.00%</v>
      </c>
      <c r="G49">
        <f>[1]!'1340.TW-PreTotalVolumeRate'</f>
        <v>0.17</v>
      </c>
      <c r="H49">
        <f>[1]!'1340.TW-VolumeRatio'</f>
        <v>0.87</v>
      </c>
      <c r="I49">
        <f>[1]!'1340.TW-5DayAvgVol'</f>
        <v>155</v>
      </c>
      <c r="J49">
        <f>[1]!'1340.TW-DXLOrderOutValueRatio'</f>
        <v>0</v>
      </c>
      <c r="K49">
        <f>[1]!'1340.TW-DXLOrderValueDiffRatio'</f>
        <v>0</v>
      </c>
      <c r="L49">
        <f>[1]!'1340.TW-DLOrderValueDiffRatio'</f>
        <v>0</v>
      </c>
      <c r="M49" t="str">
        <f>[1]!'1340.TW-ExchangeIndustry'</f>
        <v>上市塑膠</v>
      </c>
      <c r="N49" t="str">
        <f>[1]!'1340.TW-Capital'</f>
        <v>15.29</v>
      </c>
      <c r="O49" t="str">
        <f>[1]!'1340.TW-Time'</f>
        <v>09:55:38</v>
      </c>
    </row>
    <row r="50" spans="1:15" x14ac:dyDescent="0.25">
      <c r="A50" t="str">
        <f>[1]!'1341.TW-ID'</f>
        <v>1341</v>
      </c>
      <c r="B50" t="str">
        <f>[1]!'1341.TW-Name'</f>
        <v>富林-KY</v>
      </c>
      <c r="C50">
        <f>[1]!'1341.TW-Price'</f>
        <v>65.8</v>
      </c>
      <c r="D50">
        <f>[1]!'1341.TW-AvgPrice'</f>
        <v>66.09</v>
      </c>
      <c r="E50">
        <f>[1]!'1341.TW-PriceChangeRatio'</f>
        <v>-1.79</v>
      </c>
      <c r="F50" t="str">
        <f>[1]!'1341.TW-InOutRatioNumber'</f>
        <v>0.00%</v>
      </c>
      <c r="G50">
        <f>[1]!'1341.TW-PreTotalVolumeRate'</f>
        <v>0.47</v>
      </c>
      <c r="H50">
        <f>[1]!'1341.TW-VolumeRatio'</f>
        <v>0</v>
      </c>
      <c r="I50">
        <f>[1]!'1341.TW-5DayAvgVol'</f>
        <v>14</v>
      </c>
      <c r="J50">
        <f>[1]!'1341.TW-DXLOrderOutValueRatio'</f>
        <v>0</v>
      </c>
      <c r="K50">
        <f>[1]!'1341.TW-DXLOrderValueDiffRatio'</f>
        <v>0</v>
      </c>
      <c r="L50">
        <f>[1]!'1341.TW-DLOrderValueDiffRatio'</f>
        <v>0</v>
      </c>
      <c r="M50" t="str">
        <f>[1]!'1341.TW-ExchangeIndustry'</f>
        <v>上市塑膠</v>
      </c>
      <c r="N50" t="str">
        <f>[1]!'1341.TW-Capital'</f>
        <v>5.04</v>
      </c>
      <c r="O50" t="str">
        <f>[1]!'1341.TW-Time'</f>
        <v>09:59:32</v>
      </c>
    </row>
    <row r="51" spans="1:15" x14ac:dyDescent="0.25">
      <c r="A51" t="str">
        <f>[1]!'4306.TW-ID'</f>
        <v>4306</v>
      </c>
      <c r="B51" t="str">
        <f>[1]!'4306.TW-Name'</f>
        <v>炎洲</v>
      </c>
      <c r="C51">
        <f>[1]!'4306.TW-Price'</f>
        <v>15.25</v>
      </c>
      <c r="D51">
        <f>[1]!'4306.TW-AvgPrice'</f>
        <v>15.21</v>
      </c>
      <c r="E51">
        <f>[1]!'4306.TW-PriceChangeRatio'</f>
        <v>0.66</v>
      </c>
      <c r="F51" t="str">
        <f>[1]!'4306.TW-InOutRatioNumber'</f>
        <v>48.18%</v>
      </c>
      <c r="G51">
        <f>[1]!'4306.TW-PreTotalVolumeRate'</f>
        <v>0.56000000000000005</v>
      </c>
      <c r="H51">
        <f>[1]!'4306.TW-VolumeRatio'</f>
        <v>1.72</v>
      </c>
      <c r="I51">
        <f>[1]!'4306.TW-5DayAvgVol'</f>
        <v>947</v>
      </c>
      <c r="J51">
        <f>[1]!'4306.TW-DXLOrderOutValueRatio'</f>
        <v>0</v>
      </c>
      <c r="K51">
        <f>[1]!'4306.TW-DXLOrderValueDiffRatio'</f>
        <v>-14.49</v>
      </c>
      <c r="L51">
        <f>[1]!'4306.TW-DLOrderValueDiffRatio'</f>
        <v>5.0599999999999996</v>
      </c>
      <c r="M51" t="str">
        <f>[1]!'4306.TW-ExchangeIndustry'</f>
        <v>上市塑膠</v>
      </c>
      <c r="N51" t="str">
        <f>[1]!'4306.TW-Capital'</f>
        <v>63.81</v>
      </c>
      <c r="O51" t="str">
        <f>[1]!'4306.TW-Time'</f>
        <v>10:14:44</v>
      </c>
    </row>
    <row r="52" spans="1:15" x14ac:dyDescent="0.25">
      <c r="A52" t="str">
        <f>[1]!'1402.TW-ID'</f>
        <v>1402</v>
      </c>
      <c r="B52" t="str">
        <f>[1]!'1402.TW-Name'</f>
        <v>遠東新</v>
      </c>
      <c r="C52">
        <f>[1]!'1402.TW-Price'</f>
        <v>29.4</v>
      </c>
      <c r="D52">
        <f>[1]!'1402.TW-AvgPrice'</f>
        <v>29.45</v>
      </c>
      <c r="E52">
        <f>[1]!'1402.TW-PriceChangeRatio'</f>
        <v>0.34</v>
      </c>
      <c r="F52" t="str">
        <f>[1]!'1402.TW-InOutRatioNumber'</f>
        <v>56.99%</v>
      </c>
      <c r="G52">
        <f>[1]!'1402.TW-PreTotalVolumeRate'</f>
        <v>0.39</v>
      </c>
      <c r="H52">
        <f>[1]!'1402.TW-VolumeRatio'</f>
        <v>0.94</v>
      </c>
      <c r="I52">
        <f>[1]!'1402.TW-5DayAvgVol'</f>
        <v>4755</v>
      </c>
      <c r="J52">
        <f>[1]!'1402.TW-DXLOrderOutValueRatio'</f>
        <v>30.15</v>
      </c>
      <c r="K52">
        <f>[1]!'1402.TW-DXLOrderValueDiffRatio'</f>
        <v>18.73</v>
      </c>
      <c r="L52">
        <f>[1]!'1402.TW-DLOrderValueDiffRatio'</f>
        <v>1.65</v>
      </c>
      <c r="M52" t="str">
        <f>[1]!'1402.TW-ExchangeIndustry'</f>
        <v>上市紡織纖維</v>
      </c>
      <c r="N52" t="str">
        <f>[1]!'1402.TW-Capital'</f>
        <v>535.29</v>
      </c>
      <c r="O52" t="str">
        <f>[1]!'1402.TW-Time'</f>
        <v>10:14:45</v>
      </c>
    </row>
    <row r="53" spans="1:15" x14ac:dyDescent="0.25">
      <c r="A53" t="str">
        <f>[1]!'1409.TW-ID'</f>
        <v>1409</v>
      </c>
      <c r="B53" t="str">
        <f>[1]!'1409.TW-Name'</f>
        <v>新纖</v>
      </c>
      <c r="C53">
        <f>[1]!'1409.TW-Price'</f>
        <v>19</v>
      </c>
      <c r="D53">
        <f>[1]!'1409.TW-AvgPrice'</f>
        <v>18.95</v>
      </c>
      <c r="E53">
        <f>[1]!'1409.TW-PriceChangeRatio'</f>
        <v>1.33</v>
      </c>
      <c r="F53" t="str">
        <f>[1]!'1409.TW-InOutRatioNumber'</f>
        <v>61.09%</v>
      </c>
      <c r="G53">
        <f>[1]!'1409.TW-PreTotalVolumeRate'</f>
        <v>0.71</v>
      </c>
      <c r="H53">
        <f>[1]!'1409.TW-VolumeRatio'</f>
        <v>1.54</v>
      </c>
      <c r="I53">
        <f>[1]!'1409.TW-5DayAvgVol'</f>
        <v>4045</v>
      </c>
      <c r="J53">
        <f>[1]!'1409.TW-DXLOrderOutValueRatio'</f>
        <v>24.57</v>
      </c>
      <c r="K53">
        <f>[1]!'1409.TW-DXLOrderValueDiffRatio'</f>
        <v>13.81</v>
      </c>
      <c r="L53">
        <f>[1]!'1409.TW-DLOrderValueDiffRatio'</f>
        <v>-6.09</v>
      </c>
      <c r="M53" t="str">
        <f>[1]!'1409.TW-ExchangeIndustry'</f>
        <v>上市紡織纖維</v>
      </c>
      <c r="N53" t="str">
        <f>[1]!'1409.TW-Capital'</f>
        <v>161.84</v>
      </c>
      <c r="O53" t="str">
        <f>[1]!'1409.TW-Time'</f>
        <v>10:15:16</v>
      </c>
    </row>
    <row r="54" spans="1:15" x14ac:dyDescent="0.25">
      <c r="A54" t="str">
        <f>[1]!'1410.TW-ID'</f>
        <v>1410</v>
      </c>
      <c r="B54" t="str">
        <f>[1]!'1410.TW-Name'</f>
        <v>南染</v>
      </c>
      <c r="C54" t="str">
        <f>[1]!'1410.TW-Price'</f>
        <v>--</v>
      </c>
      <c r="D54" t="str">
        <f>[1]!'1410.TW-AvgPrice'</f>
        <v>--</v>
      </c>
      <c r="E54" t="str">
        <f>[1]!'1410.TW-PriceChangeRatio'</f>
        <v>--</v>
      </c>
      <c r="F54" t="str">
        <f>[1]!'1410.TW-InOutRatioNumber'</f>
        <v>--</v>
      </c>
      <c r="G54">
        <f>[1]!'1410.TW-PreTotalVolumeRate'</f>
        <v>0</v>
      </c>
      <c r="H54">
        <f>[1]!'1410.TW-VolumeRatio'</f>
        <v>0</v>
      </c>
      <c r="I54">
        <f>[1]!'1410.TW-5DayAvgVol'</f>
        <v>9</v>
      </c>
      <c r="J54">
        <f>[1]!'1410.TW-DXLOrderOutValueRatio'</f>
        <v>0</v>
      </c>
      <c r="K54">
        <f>[1]!'1410.TW-DXLOrderValueDiffRatio'</f>
        <v>0</v>
      </c>
      <c r="L54">
        <f>[1]!'1410.TW-DLOrderValueDiffRatio'</f>
        <v>0</v>
      </c>
      <c r="M54" t="str">
        <f>[1]!'1410.TW-ExchangeIndustry'</f>
        <v>上市紡織纖維</v>
      </c>
      <c r="N54" t="str">
        <f>[1]!'1410.TW-Capital'</f>
        <v>6.30</v>
      </c>
      <c r="O54" t="str">
        <f>[1]!'1410.TW-Time'</f>
        <v>--</v>
      </c>
    </row>
    <row r="55" spans="1:15" x14ac:dyDescent="0.25">
      <c r="A55" t="str">
        <f>[1]!'1413.TW-ID'</f>
        <v>1413</v>
      </c>
      <c r="B55" t="str">
        <f>[1]!'1413.TW-Name'</f>
        <v>宏洲</v>
      </c>
      <c r="C55">
        <f>[1]!'1413.TW-Price'</f>
        <v>10</v>
      </c>
      <c r="D55">
        <f>[1]!'1413.TW-AvgPrice'</f>
        <v>9.99</v>
      </c>
      <c r="E55">
        <f>[1]!'1413.TW-PriceChangeRatio'</f>
        <v>0.2</v>
      </c>
      <c r="F55" t="str">
        <f>[1]!'1413.TW-InOutRatioNumber'</f>
        <v>44.44%</v>
      </c>
      <c r="G55">
        <f>[1]!'1413.TW-PreTotalVolumeRate'</f>
        <v>0.11</v>
      </c>
      <c r="H55">
        <f>[1]!'1413.TW-VolumeRatio'</f>
        <v>0.24</v>
      </c>
      <c r="I55">
        <f>[1]!'1413.TW-5DayAvgVol'</f>
        <v>148</v>
      </c>
      <c r="J55">
        <f>[1]!'1413.TW-DXLOrderOutValueRatio'</f>
        <v>0</v>
      </c>
      <c r="K55">
        <f>[1]!'1413.TW-DXLOrderValueDiffRatio'</f>
        <v>0</v>
      </c>
      <c r="L55">
        <f>[1]!'1413.TW-DLOrderValueDiffRatio'</f>
        <v>0</v>
      </c>
      <c r="M55" t="str">
        <f>[1]!'1413.TW-ExchangeIndustry'</f>
        <v>上市紡織纖維</v>
      </c>
      <c r="N55" t="str">
        <f>[1]!'1413.TW-Capital'</f>
        <v>13.21</v>
      </c>
      <c r="O55" t="str">
        <f>[1]!'1413.TW-Time'</f>
        <v>10:07:43</v>
      </c>
    </row>
    <row r="56" spans="1:15" x14ac:dyDescent="0.25">
      <c r="A56" t="str">
        <f>[1]!'1414.TW-ID'</f>
        <v>1414</v>
      </c>
      <c r="B56" t="str">
        <f>[1]!'1414.TW-Name'</f>
        <v>東和</v>
      </c>
      <c r="C56">
        <f>[1]!'1414.TW-Price'</f>
        <v>16.55</v>
      </c>
      <c r="D56">
        <f>[1]!'1414.TW-AvgPrice'</f>
        <v>16.39</v>
      </c>
      <c r="E56">
        <f>[1]!'1414.TW-PriceChangeRatio'</f>
        <v>1.85</v>
      </c>
      <c r="F56" t="str">
        <f>[1]!'1414.TW-InOutRatioNumber'</f>
        <v>66.08%</v>
      </c>
      <c r="G56">
        <f>[1]!'1414.TW-PreTotalVolumeRate'</f>
        <v>0.12</v>
      </c>
      <c r="H56">
        <f>[1]!'1414.TW-VolumeRatio'</f>
        <v>0.21</v>
      </c>
      <c r="I56">
        <f>[1]!'1414.TW-5DayAvgVol'</f>
        <v>2779</v>
      </c>
      <c r="J56">
        <f>[1]!'1414.TW-DXLOrderOutValueRatio'</f>
        <v>0</v>
      </c>
      <c r="K56">
        <f>[1]!'1414.TW-DXLOrderValueDiffRatio'</f>
        <v>0</v>
      </c>
      <c r="L56">
        <f>[1]!'1414.TW-DLOrderValueDiffRatio'</f>
        <v>0</v>
      </c>
      <c r="M56" t="str">
        <f>[1]!'1414.TW-ExchangeIndustry'</f>
        <v>上市紡織纖維</v>
      </c>
      <c r="N56" t="str">
        <f>[1]!'1414.TW-Capital'</f>
        <v>22.00</v>
      </c>
      <c r="O56" t="str">
        <f>[1]!'1414.TW-Time'</f>
        <v>10:14:16</v>
      </c>
    </row>
    <row r="57" spans="1:15" x14ac:dyDescent="0.25">
      <c r="A57" t="str">
        <f>[1]!'1417.TW-ID'</f>
        <v>1417</v>
      </c>
      <c r="B57" t="str">
        <f>[1]!'1417.TW-Name'</f>
        <v>嘉裕</v>
      </c>
      <c r="C57">
        <f>[1]!'1417.TW-Price'</f>
        <v>13.85</v>
      </c>
      <c r="D57">
        <f>[1]!'1417.TW-AvgPrice'</f>
        <v>13.79</v>
      </c>
      <c r="E57">
        <f>[1]!'1417.TW-PriceChangeRatio'</f>
        <v>1.47</v>
      </c>
      <c r="F57" t="str">
        <f>[1]!'1417.TW-InOutRatioNumber'</f>
        <v>79.64%</v>
      </c>
      <c r="G57">
        <f>[1]!'1417.TW-PreTotalVolumeRate'</f>
        <v>2.2000000000000002</v>
      </c>
      <c r="H57">
        <f>[1]!'1417.TW-VolumeRatio'</f>
        <v>6.33</v>
      </c>
      <c r="I57">
        <f>[1]!'1417.TW-5DayAvgVol'</f>
        <v>242</v>
      </c>
      <c r="J57">
        <f>[1]!'1417.TW-DXLOrderOutValueRatio'</f>
        <v>48.88</v>
      </c>
      <c r="K57">
        <f>[1]!'1417.TW-DXLOrderValueDiffRatio'</f>
        <v>48.88</v>
      </c>
      <c r="L57">
        <f>[1]!'1417.TW-DLOrderValueDiffRatio'</f>
        <v>4.1100000000000003</v>
      </c>
      <c r="M57" t="str">
        <f>[1]!'1417.TW-ExchangeIndustry'</f>
        <v>上市紡織纖維</v>
      </c>
      <c r="N57" t="str">
        <f>[1]!'1417.TW-Capital'</f>
        <v>18.99</v>
      </c>
      <c r="O57" t="str">
        <f>[1]!'1417.TW-Time'</f>
        <v>10:14:58</v>
      </c>
    </row>
    <row r="58" spans="1:15" x14ac:dyDescent="0.25">
      <c r="A58" t="str">
        <f>[1]!'1418.TW-ID'</f>
        <v>1418</v>
      </c>
      <c r="B58" t="str">
        <f>[1]!'1418.TW-Name'</f>
        <v>東華</v>
      </c>
      <c r="C58">
        <f>[1]!'1418.TW-Price'</f>
        <v>10.8</v>
      </c>
      <c r="D58">
        <f>[1]!'1418.TW-AvgPrice'</f>
        <v>10.8</v>
      </c>
      <c r="E58">
        <f>[1]!'1418.TW-PriceChangeRatio'</f>
        <v>0</v>
      </c>
      <c r="F58" t="str">
        <f>[1]!'1418.TW-InOutRatioNumber'</f>
        <v>--</v>
      </c>
      <c r="G58">
        <f>[1]!'1418.TW-PreTotalVolumeRate'</f>
        <v>0.14000000000000001</v>
      </c>
      <c r="H58">
        <f>[1]!'1418.TW-VolumeRatio'</f>
        <v>0</v>
      </c>
      <c r="I58">
        <f>[1]!'1418.TW-5DayAvgVol'</f>
        <v>12</v>
      </c>
      <c r="J58">
        <f>[1]!'1418.TW-DXLOrderOutValueRatio'</f>
        <v>0</v>
      </c>
      <c r="K58">
        <f>[1]!'1418.TW-DXLOrderValueDiffRatio'</f>
        <v>0</v>
      </c>
      <c r="L58">
        <f>[1]!'1418.TW-DLOrderValueDiffRatio'</f>
        <v>0</v>
      </c>
      <c r="M58" t="str">
        <f>[1]!'1418.TW-ExchangeIndustry'</f>
        <v>上市紡織纖維</v>
      </c>
      <c r="N58" t="str">
        <f>[1]!'1418.TW-Capital'</f>
        <v>5.68</v>
      </c>
      <c r="O58" t="str">
        <f>[1]!'1418.TW-Time'</f>
        <v>09:00:12</v>
      </c>
    </row>
    <row r="59" spans="1:15" x14ac:dyDescent="0.25">
      <c r="A59" t="str">
        <f>[1]!'1419.TW-ID'</f>
        <v>1419</v>
      </c>
      <c r="B59" t="str">
        <f>[1]!'1419.TW-Name'</f>
        <v>新紡</v>
      </c>
      <c r="C59" t="str">
        <f>[1]!'1419.TW-Price'</f>
        <v>--</v>
      </c>
      <c r="D59" t="str">
        <f>[1]!'1419.TW-AvgPrice'</f>
        <v>--</v>
      </c>
      <c r="E59" t="str">
        <f>[1]!'1419.TW-PriceChangeRatio'</f>
        <v>--</v>
      </c>
      <c r="F59" t="str">
        <f>[1]!'1419.TW-InOutRatioNumber'</f>
        <v>--</v>
      </c>
      <c r="G59">
        <f>[1]!'1419.TW-PreTotalVolumeRate'</f>
        <v>0</v>
      </c>
      <c r="H59">
        <f>[1]!'1419.TW-VolumeRatio'</f>
        <v>0</v>
      </c>
      <c r="I59">
        <f>[1]!'1419.TW-5DayAvgVol'</f>
        <v>37</v>
      </c>
      <c r="J59">
        <f>[1]!'1419.TW-DXLOrderOutValueRatio'</f>
        <v>0</v>
      </c>
      <c r="K59">
        <f>[1]!'1419.TW-DXLOrderValueDiffRatio'</f>
        <v>0</v>
      </c>
      <c r="L59">
        <f>[1]!'1419.TW-DLOrderValueDiffRatio'</f>
        <v>0</v>
      </c>
      <c r="M59" t="str">
        <f>[1]!'1419.TW-ExchangeIndustry'</f>
        <v>上市紡織纖維</v>
      </c>
      <c r="N59" t="str">
        <f>[1]!'1419.TW-Capital'</f>
        <v>30.00</v>
      </c>
      <c r="O59" t="str">
        <f>[1]!'1419.TW-Time'</f>
        <v>--</v>
      </c>
    </row>
    <row r="60" spans="1:15" x14ac:dyDescent="0.25">
      <c r="A60" t="str">
        <f>[1]!'1423.TW-ID'</f>
        <v>1423</v>
      </c>
      <c r="B60" t="str">
        <f>[1]!'1423.TW-Name'</f>
        <v>利華</v>
      </c>
      <c r="C60">
        <f>[1]!'1423.TW-Price'</f>
        <v>17.25</v>
      </c>
      <c r="D60">
        <f>[1]!'1423.TW-AvgPrice'</f>
        <v>17.23</v>
      </c>
      <c r="E60">
        <f>[1]!'1423.TW-PriceChangeRatio'</f>
        <v>-0.57999999999999996</v>
      </c>
      <c r="F60" t="str">
        <f>[1]!'1423.TW-InOutRatioNumber'</f>
        <v>42.86%</v>
      </c>
      <c r="G60">
        <f>[1]!'1423.TW-PreTotalVolumeRate'</f>
        <v>0.13</v>
      </c>
      <c r="H60">
        <f>[1]!'1423.TW-VolumeRatio'</f>
        <v>0.92</v>
      </c>
      <c r="I60">
        <f>[1]!'1423.TW-5DayAvgVol'</f>
        <v>87</v>
      </c>
      <c r="J60">
        <f>[1]!'1423.TW-DXLOrderOutValueRatio'</f>
        <v>0</v>
      </c>
      <c r="K60">
        <f>[1]!'1423.TW-DXLOrderValueDiffRatio'</f>
        <v>0</v>
      </c>
      <c r="L60">
        <f>[1]!'1423.TW-DLOrderValueDiffRatio'</f>
        <v>0</v>
      </c>
      <c r="M60" t="str">
        <f>[1]!'1423.TW-ExchangeIndustry'</f>
        <v>上市紡織纖維</v>
      </c>
      <c r="N60" t="str">
        <f>[1]!'1423.TW-Capital'</f>
        <v>13.84</v>
      </c>
      <c r="O60" t="str">
        <f>[1]!'1423.TW-Time'</f>
        <v>09:29:52</v>
      </c>
    </row>
    <row r="61" spans="1:15" x14ac:dyDescent="0.25">
      <c r="A61" t="str">
        <f>[1]!'1434.TW-ID'</f>
        <v>1434</v>
      </c>
      <c r="B61" t="str">
        <f>[1]!'1434.TW-Name'</f>
        <v>福懋</v>
      </c>
      <c r="C61">
        <f>[1]!'1434.TW-Price'</f>
        <v>30</v>
      </c>
      <c r="D61">
        <f>[1]!'1434.TW-AvgPrice'</f>
        <v>30.03</v>
      </c>
      <c r="E61">
        <f>[1]!'1434.TW-PriceChangeRatio'</f>
        <v>0.33</v>
      </c>
      <c r="F61" t="str">
        <f>[1]!'1434.TW-InOutRatioNumber'</f>
        <v>33.95%</v>
      </c>
      <c r="G61">
        <f>[1]!'1434.TW-PreTotalVolumeRate'</f>
        <v>0.39</v>
      </c>
      <c r="H61">
        <f>[1]!'1434.TW-VolumeRatio'</f>
        <v>0.96</v>
      </c>
      <c r="I61">
        <f>[1]!'1434.TW-5DayAvgVol'</f>
        <v>2045</v>
      </c>
      <c r="J61">
        <f>[1]!'1434.TW-DXLOrderOutValueRatio'</f>
        <v>5.42</v>
      </c>
      <c r="K61">
        <f>[1]!'1434.TW-DXLOrderValueDiffRatio'</f>
        <v>-6.47</v>
      </c>
      <c r="L61">
        <f>[1]!'1434.TW-DLOrderValueDiffRatio'</f>
        <v>3.32</v>
      </c>
      <c r="M61" t="str">
        <f>[1]!'1434.TW-ExchangeIndustry'</f>
        <v>上市紡織纖維</v>
      </c>
      <c r="N61" t="str">
        <f>[1]!'1434.TW-Capital'</f>
        <v>168.47</v>
      </c>
      <c r="O61" t="str">
        <f>[1]!'1434.TW-Time'</f>
        <v>10:13:15</v>
      </c>
    </row>
    <row r="62" spans="1:15" x14ac:dyDescent="0.25">
      <c r="A62" t="str">
        <f>[1]!'1439.TW-ID'</f>
        <v>1439</v>
      </c>
      <c r="B62" t="str">
        <f>[1]!'1439.TW-Name'</f>
        <v>中和</v>
      </c>
      <c r="C62" t="str">
        <f>[1]!'1439.TW-Price'</f>
        <v>--</v>
      </c>
      <c r="D62" t="str">
        <f>[1]!'1439.TW-AvgPrice'</f>
        <v>--</v>
      </c>
      <c r="E62" t="str">
        <f>[1]!'1439.TW-PriceChangeRatio'</f>
        <v>--</v>
      </c>
      <c r="F62" t="str">
        <f>[1]!'1439.TW-InOutRatioNumber'</f>
        <v>--</v>
      </c>
      <c r="G62">
        <f>[1]!'1439.TW-PreTotalVolumeRate'</f>
        <v>0</v>
      </c>
      <c r="H62">
        <f>[1]!'1439.TW-VolumeRatio'</f>
        <v>0</v>
      </c>
      <c r="I62">
        <f>[1]!'1439.TW-5DayAvgVol'</f>
        <v>15</v>
      </c>
      <c r="J62">
        <f>[1]!'1439.TW-DXLOrderOutValueRatio'</f>
        <v>0</v>
      </c>
      <c r="K62">
        <f>[1]!'1439.TW-DXLOrderValueDiffRatio'</f>
        <v>0</v>
      </c>
      <c r="L62">
        <f>[1]!'1439.TW-DLOrderValueDiffRatio'</f>
        <v>0</v>
      </c>
      <c r="M62" t="str">
        <f>[1]!'1439.TW-ExchangeIndustry'</f>
        <v>上市紡織纖維</v>
      </c>
      <c r="N62" t="str">
        <f>[1]!'1439.TW-Capital'</f>
        <v>9.20</v>
      </c>
      <c r="O62" t="str">
        <f>[1]!'1439.TW-Time'</f>
        <v>--</v>
      </c>
    </row>
    <row r="63" spans="1:15" x14ac:dyDescent="0.25">
      <c r="A63" t="str">
        <f>[1]!'1440.TW-ID'</f>
        <v>1440</v>
      </c>
      <c r="B63" t="str">
        <f>[1]!'1440.TW-Name'</f>
        <v>南紡</v>
      </c>
      <c r="C63">
        <f>[1]!'1440.TW-Price'</f>
        <v>21.25</v>
      </c>
      <c r="D63">
        <f>[1]!'1440.TW-AvgPrice'</f>
        <v>21.1</v>
      </c>
      <c r="E63">
        <f>[1]!'1440.TW-PriceChangeRatio'</f>
        <v>0.47</v>
      </c>
      <c r="F63" t="str">
        <f>[1]!'1440.TW-InOutRatioNumber'</f>
        <v>48.78%</v>
      </c>
      <c r="G63">
        <f>[1]!'1440.TW-PreTotalVolumeRate'</f>
        <v>0.38</v>
      </c>
      <c r="H63">
        <f>[1]!'1440.TW-VolumeRatio'</f>
        <v>0.65</v>
      </c>
      <c r="I63">
        <f>[1]!'1440.TW-5DayAvgVol'</f>
        <v>14900</v>
      </c>
      <c r="J63">
        <f>[1]!'1440.TW-DXLOrderOutValueRatio'</f>
        <v>10.67</v>
      </c>
      <c r="K63">
        <f>[1]!'1440.TW-DXLOrderValueDiffRatio'</f>
        <v>-3.19</v>
      </c>
      <c r="L63">
        <f>[1]!'1440.TW-DLOrderValueDiffRatio'</f>
        <v>4.42</v>
      </c>
      <c r="M63" t="str">
        <f>[1]!'1440.TW-ExchangeIndustry'</f>
        <v>上市紡織纖維</v>
      </c>
      <c r="N63" t="str">
        <f>[1]!'1440.TW-Capital'</f>
        <v>165.68</v>
      </c>
      <c r="O63" t="str">
        <f>[1]!'1440.TW-Time'</f>
        <v>10:15:14</v>
      </c>
    </row>
    <row r="64" spans="1:15" x14ac:dyDescent="0.25">
      <c r="A64" t="str">
        <f>[1]!'1441.TW-ID'</f>
        <v>1441</v>
      </c>
      <c r="B64" t="str">
        <f>[1]!'1441.TW-Name'</f>
        <v>大東</v>
      </c>
      <c r="C64">
        <f>[1]!'1441.TW-Price'</f>
        <v>9.33</v>
      </c>
      <c r="D64">
        <f>[1]!'1441.TW-AvgPrice'</f>
        <v>9.3699999999999992</v>
      </c>
      <c r="E64">
        <f>[1]!'1441.TW-PriceChangeRatio'</f>
        <v>-0.96</v>
      </c>
      <c r="F64" t="str">
        <f>[1]!'1441.TW-InOutRatioNumber'</f>
        <v>41.30%</v>
      </c>
      <c r="G64">
        <f>[1]!'1441.TW-PreTotalVolumeRate'</f>
        <v>0.43</v>
      </c>
      <c r="H64">
        <f>[1]!'1441.TW-VolumeRatio'</f>
        <v>0.68</v>
      </c>
      <c r="I64">
        <f>[1]!'1441.TW-5DayAvgVol'</f>
        <v>90</v>
      </c>
      <c r="J64">
        <f>[1]!'1441.TW-DXLOrderOutValueRatio'</f>
        <v>0</v>
      </c>
      <c r="K64">
        <f>[1]!'1441.TW-DXLOrderValueDiffRatio'</f>
        <v>0</v>
      </c>
      <c r="L64">
        <f>[1]!'1441.TW-DLOrderValueDiffRatio'</f>
        <v>0</v>
      </c>
      <c r="M64" t="str">
        <f>[1]!'1441.TW-ExchangeIndustry'</f>
        <v>上市紡織纖維</v>
      </c>
      <c r="N64" t="str">
        <f>[1]!'1441.TW-Capital'</f>
        <v>10.08</v>
      </c>
      <c r="O64" t="str">
        <f>[1]!'1441.TW-Time'</f>
        <v>10:04:13</v>
      </c>
    </row>
    <row r="65" spans="1:15" x14ac:dyDescent="0.25">
      <c r="A65" t="str">
        <f>[1]!'1444.TW-ID'</f>
        <v>1444</v>
      </c>
      <c r="B65" t="str">
        <f>[1]!'1444.TW-Name'</f>
        <v>力麗</v>
      </c>
      <c r="C65">
        <f>[1]!'1444.TW-Price'</f>
        <v>10.95</v>
      </c>
      <c r="D65">
        <f>[1]!'1444.TW-AvgPrice'</f>
        <v>10.95</v>
      </c>
      <c r="E65">
        <f>[1]!'1444.TW-PriceChangeRatio'</f>
        <v>0.92</v>
      </c>
      <c r="F65" t="str">
        <f>[1]!'1444.TW-InOutRatioNumber'</f>
        <v>47.01%</v>
      </c>
      <c r="G65">
        <f>[1]!'1444.TW-PreTotalVolumeRate'</f>
        <v>0.68</v>
      </c>
      <c r="H65">
        <f>[1]!'1444.TW-VolumeRatio'</f>
        <v>1.21</v>
      </c>
      <c r="I65">
        <f>[1]!'1444.TW-5DayAvgVol'</f>
        <v>2774</v>
      </c>
      <c r="J65">
        <f>[1]!'1444.TW-DXLOrderOutValueRatio'</f>
        <v>7.17</v>
      </c>
      <c r="K65">
        <f>[1]!'1444.TW-DXLOrderValueDiffRatio'</f>
        <v>7.17</v>
      </c>
      <c r="L65">
        <f>[1]!'1444.TW-DLOrderValueDiffRatio'</f>
        <v>0.52</v>
      </c>
      <c r="M65" t="str">
        <f>[1]!'1444.TW-ExchangeIndustry'</f>
        <v>上市紡織纖維</v>
      </c>
      <c r="N65" t="str">
        <f>[1]!'1444.TW-Capital'</f>
        <v>95.73</v>
      </c>
      <c r="O65" t="str">
        <f>[1]!'1444.TW-Time'</f>
        <v>10:14:58</v>
      </c>
    </row>
    <row r="66" spans="1:15" x14ac:dyDescent="0.25">
      <c r="A66" t="str">
        <f>[1]!'1445.TW-ID'</f>
        <v>1445</v>
      </c>
      <c r="B66" t="str">
        <f>[1]!'1445.TW-Name'</f>
        <v>大宇</v>
      </c>
      <c r="C66">
        <f>[1]!'1445.TW-Price'</f>
        <v>13.2</v>
      </c>
      <c r="D66">
        <f>[1]!'1445.TW-AvgPrice'</f>
        <v>13.18</v>
      </c>
      <c r="E66">
        <f>[1]!'1445.TW-PriceChangeRatio'</f>
        <v>0.38</v>
      </c>
      <c r="F66" t="str">
        <f>[1]!'1445.TW-InOutRatioNumber'</f>
        <v>39.13%</v>
      </c>
      <c r="G66">
        <f>[1]!'1445.TW-PreTotalVolumeRate'</f>
        <v>0.1</v>
      </c>
      <c r="H66">
        <f>[1]!'1445.TW-VolumeRatio'</f>
        <v>0.53</v>
      </c>
      <c r="I66">
        <f>[1]!'1445.TW-5DayAvgVol'</f>
        <v>183</v>
      </c>
      <c r="J66">
        <f>[1]!'1445.TW-DXLOrderOutValueRatio'</f>
        <v>0</v>
      </c>
      <c r="K66">
        <f>[1]!'1445.TW-DXLOrderValueDiffRatio'</f>
        <v>0</v>
      </c>
      <c r="L66">
        <f>[1]!'1445.TW-DLOrderValueDiffRatio'</f>
        <v>0</v>
      </c>
      <c r="M66" t="str">
        <f>[1]!'1445.TW-ExchangeIndustry'</f>
        <v>上市紡織纖維</v>
      </c>
      <c r="N66" t="str">
        <f>[1]!'1445.TW-Capital'</f>
        <v>13.07</v>
      </c>
      <c r="O66" t="str">
        <f>[1]!'1445.TW-Time'</f>
        <v>10:12:01</v>
      </c>
    </row>
    <row r="67" spans="1:15" x14ac:dyDescent="0.25">
      <c r="A67" t="str">
        <f>[1]!'1446.TW-ID'</f>
        <v>1446</v>
      </c>
      <c r="B67" t="str">
        <f>[1]!'1446.TW-Name'</f>
        <v>宏和</v>
      </c>
      <c r="C67">
        <f>[1]!'1446.TW-Price'</f>
        <v>31.4</v>
      </c>
      <c r="D67">
        <f>[1]!'1446.TW-AvgPrice'</f>
        <v>31.41</v>
      </c>
      <c r="E67">
        <f>[1]!'1446.TW-PriceChangeRatio'</f>
        <v>0</v>
      </c>
      <c r="F67" t="str">
        <f>[1]!'1446.TW-InOutRatioNumber'</f>
        <v>57.89%</v>
      </c>
      <c r="G67">
        <f>[1]!'1446.TW-PreTotalVolumeRate'</f>
        <v>0.23</v>
      </c>
      <c r="H67">
        <f>[1]!'1446.TW-VolumeRatio'</f>
        <v>0.72</v>
      </c>
      <c r="I67">
        <f>[1]!'1446.TW-5DayAvgVol'</f>
        <v>73</v>
      </c>
      <c r="J67">
        <f>[1]!'1446.TW-DXLOrderOutValueRatio'</f>
        <v>0</v>
      </c>
      <c r="K67">
        <f>[1]!'1446.TW-DXLOrderValueDiffRatio'</f>
        <v>0</v>
      </c>
      <c r="L67">
        <f>[1]!'1446.TW-DLOrderValueDiffRatio'</f>
        <v>0</v>
      </c>
      <c r="M67" t="str">
        <f>[1]!'1446.TW-ExchangeIndustry'</f>
        <v>上市紡織纖維</v>
      </c>
      <c r="N67" t="str">
        <f>[1]!'1446.TW-Capital'</f>
        <v>13.77</v>
      </c>
      <c r="O67" t="str">
        <f>[1]!'1446.TW-Time'</f>
        <v>10:14:24</v>
      </c>
    </row>
    <row r="68" spans="1:15" x14ac:dyDescent="0.25">
      <c r="A68" t="str">
        <f>[1]!'1447.TW-ID'</f>
        <v>1447</v>
      </c>
      <c r="B68" t="str">
        <f>[1]!'1447.TW-Name'</f>
        <v>力鵬</v>
      </c>
      <c r="C68">
        <f>[1]!'1447.TW-Price'</f>
        <v>10.050000000000001</v>
      </c>
      <c r="D68">
        <f>[1]!'1447.TW-AvgPrice'</f>
        <v>10</v>
      </c>
      <c r="E68">
        <f>[1]!'1447.TW-PriceChangeRatio'</f>
        <v>1.21</v>
      </c>
      <c r="F68" t="str">
        <f>[1]!'1447.TW-InOutRatioNumber'</f>
        <v>47.12%</v>
      </c>
      <c r="G68">
        <f>[1]!'1447.TW-PreTotalVolumeRate'</f>
        <v>0.32</v>
      </c>
      <c r="H68">
        <f>[1]!'1447.TW-VolumeRatio'</f>
        <v>0.73</v>
      </c>
      <c r="I68">
        <f>[1]!'1447.TW-5DayAvgVol'</f>
        <v>4221</v>
      </c>
      <c r="J68">
        <f>[1]!'1447.TW-DXLOrderOutValueRatio'</f>
        <v>8.61</v>
      </c>
      <c r="K68">
        <f>[1]!'1447.TW-DXLOrderValueDiffRatio'</f>
        <v>8.61</v>
      </c>
      <c r="L68">
        <f>[1]!'1447.TW-DLOrderValueDiffRatio'</f>
        <v>0</v>
      </c>
      <c r="M68" t="str">
        <f>[1]!'1447.TW-ExchangeIndustry'</f>
        <v>上市紡織纖維</v>
      </c>
      <c r="N68" t="str">
        <f>[1]!'1447.TW-Capital'</f>
        <v>91.45</v>
      </c>
      <c r="O68" t="str">
        <f>[1]!'1447.TW-Time'</f>
        <v>10:14:16</v>
      </c>
    </row>
    <row r="69" spans="1:15" x14ac:dyDescent="0.25">
      <c r="A69" t="str">
        <f>[1]!'1449.TW-ID'</f>
        <v>1449</v>
      </c>
      <c r="B69" t="str">
        <f>[1]!'1449.TW-Name'</f>
        <v>佳和</v>
      </c>
      <c r="C69">
        <f>[1]!'1449.TW-Price'</f>
        <v>15.5</v>
      </c>
      <c r="D69">
        <f>[1]!'1449.TW-AvgPrice'</f>
        <v>15.5</v>
      </c>
      <c r="E69">
        <f>[1]!'1449.TW-PriceChangeRatio'</f>
        <v>-1.27</v>
      </c>
      <c r="F69" t="str">
        <f>[1]!'1449.TW-InOutRatioNumber'</f>
        <v>11.54%</v>
      </c>
      <c r="G69">
        <f>[1]!'1449.TW-PreTotalVolumeRate'</f>
        <v>0.53</v>
      </c>
      <c r="H69">
        <f>[1]!'1449.TW-VolumeRatio'</f>
        <v>1.48</v>
      </c>
      <c r="I69">
        <f>[1]!'1449.TW-5DayAvgVol'</f>
        <v>63</v>
      </c>
      <c r="J69">
        <f>[1]!'1449.TW-DXLOrderOutValueRatio'</f>
        <v>0</v>
      </c>
      <c r="K69">
        <f>[1]!'1449.TW-DXLOrderValueDiffRatio'</f>
        <v>0</v>
      </c>
      <c r="L69">
        <f>[1]!'1449.TW-DLOrderValueDiffRatio'</f>
        <v>0</v>
      </c>
      <c r="M69" t="str">
        <f>[1]!'1449.TW-ExchangeIndustry'</f>
        <v>上市紡織纖維</v>
      </c>
      <c r="N69" t="str">
        <f>[1]!'1449.TW-Capital'</f>
        <v>8.81</v>
      </c>
      <c r="O69" t="str">
        <f>[1]!'1449.TW-Time'</f>
        <v>10:11:08</v>
      </c>
    </row>
    <row r="70" spans="1:15" x14ac:dyDescent="0.25">
      <c r="A70" t="str">
        <f>[1]!'1451.TW-ID'</f>
        <v>1451</v>
      </c>
      <c r="B70" t="str">
        <f>[1]!'1451.TW-Name'</f>
        <v>年興</v>
      </c>
      <c r="C70">
        <f>[1]!'1451.TW-Price'</f>
        <v>20.75</v>
      </c>
      <c r="D70">
        <f>[1]!'1451.TW-AvgPrice'</f>
        <v>20.73</v>
      </c>
      <c r="E70">
        <f>[1]!'1451.TW-PriceChangeRatio'</f>
        <v>0.48</v>
      </c>
      <c r="F70" t="str">
        <f>[1]!'1451.TW-InOutRatioNumber'</f>
        <v>38.10%</v>
      </c>
      <c r="G70">
        <f>[1]!'1451.TW-PreTotalVolumeRate'</f>
        <v>0.21</v>
      </c>
      <c r="H70">
        <f>[1]!'1451.TW-VolumeRatio'</f>
        <v>0.5</v>
      </c>
      <c r="I70">
        <f>[1]!'1451.TW-5DayAvgVol'</f>
        <v>171</v>
      </c>
      <c r="J70">
        <f>[1]!'1451.TW-DXLOrderOutValueRatio'</f>
        <v>0</v>
      </c>
      <c r="K70">
        <f>[1]!'1451.TW-DXLOrderValueDiffRatio'</f>
        <v>0</v>
      </c>
      <c r="L70">
        <f>[1]!'1451.TW-DLOrderValueDiffRatio'</f>
        <v>0</v>
      </c>
      <c r="M70" t="str">
        <f>[1]!'1451.TW-ExchangeIndustry'</f>
        <v>上市紡織纖維</v>
      </c>
      <c r="N70" t="str">
        <f>[1]!'1451.TW-Capital'</f>
        <v>19.80</v>
      </c>
      <c r="O70" t="str">
        <f>[1]!'1451.TW-Time'</f>
        <v>10:14:41</v>
      </c>
    </row>
    <row r="71" spans="1:15" x14ac:dyDescent="0.25">
      <c r="A71" t="str">
        <f>[1]!'1452.TW-ID'</f>
        <v>1452</v>
      </c>
      <c r="B71" t="str">
        <f>[1]!'1452.TW-Name'</f>
        <v>宏益</v>
      </c>
      <c r="C71">
        <f>[1]!'1452.TW-Price'</f>
        <v>23.6</v>
      </c>
      <c r="D71">
        <f>[1]!'1452.TW-AvgPrice'</f>
        <v>23.56</v>
      </c>
      <c r="E71">
        <f>[1]!'1452.TW-PriceChangeRatio'</f>
        <v>0.85</v>
      </c>
      <c r="F71" t="str">
        <f>[1]!'1452.TW-InOutRatioNumber'</f>
        <v>52.03%</v>
      </c>
      <c r="G71">
        <f>[1]!'1452.TW-PreTotalVolumeRate'</f>
        <v>0.61</v>
      </c>
      <c r="H71">
        <f>[1]!'1452.TW-VolumeRatio'</f>
        <v>1.3</v>
      </c>
      <c r="I71">
        <f>[1]!'1452.TW-5DayAvgVol'</f>
        <v>569</v>
      </c>
      <c r="J71">
        <f>[1]!'1452.TW-DXLOrderOutValueRatio'</f>
        <v>0</v>
      </c>
      <c r="K71">
        <f>[1]!'1452.TW-DXLOrderValueDiffRatio'</f>
        <v>0</v>
      </c>
      <c r="L71">
        <f>[1]!'1452.TW-DLOrderValueDiffRatio'</f>
        <v>0</v>
      </c>
      <c r="M71" t="str">
        <f>[1]!'1452.TW-ExchangeIndustry'</f>
        <v>上市紡織纖維</v>
      </c>
      <c r="N71" t="str">
        <f>[1]!'1452.TW-Capital'</f>
        <v>13.26</v>
      </c>
      <c r="O71" t="str">
        <f>[1]!'1452.TW-Time'</f>
        <v>10:13:41</v>
      </c>
    </row>
    <row r="72" spans="1:15" x14ac:dyDescent="0.25">
      <c r="A72" t="str">
        <f>[1]!'1454.TW-ID'</f>
        <v>1454</v>
      </c>
      <c r="B72" t="str">
        <f>[1]!'1454.TW-Name'</f>
        <v>台富</v>
      </c>
      <c r="C72" t="str">
        <f>[1]!'1454.TW-Price'</f>
        <v>--</v>
      </c>
      <c r="D72" t="str">
        <f>[1]!'1454.TW-AvgPrice'</f>
        <v>--</v>
      </c>
      <c r="E72" t="str">
        <f>[1]!'1454.TW-PriceChangeRatio'</f>
        <v>--</v>
      </c>
      <c r="F72" t="str">
        <f>[1]!'1454.TW-InOutRatioNumber'</f>
        <v>--</v>
      </c>
      <c r="G72">
        <f>[1]!'1454.TW-PreTotalVolumeRate'</f>
        <v>0</v>
      </c>
      <c r="H72">
        <f>[1]!'1454.TW-VolumeRatio'</f>
        <v>0</v>
      </c>
      <c r="I72">
        <f>[1]!'1454.TW-5DayAvgVol'</f>
        <v>73</v>
      </c>
      <c r="J72">
        <f>[1]!'1454.TW-DXLOrderOutValueRatio'</f>
        <v>0</v>
      </c>
      <c r="K72">
        <f>[1]!'1454.TW-DXLOrderValueDiffRatio'</f>
        <v>0</v>
      </c>
      <c r="L72">
        <f>[1]!'1454.TW-DLOrderValueDiffRatio'</f>
        <v>0</v>
      </c>
      <c r="M72" t="str">
        <f>[1]!'1454.TW-ExchangeIndustry'</f>
        <v>上市紡織纖維</v>
      </c>
      <c r="N72" t="str">
        <f>[1]!'1454.TW-Capital'</f>
        <v>12.98</v>
      </c>
      <c r="O72" t="str">
        <f>[1]!'1454.TW-Time'</f>
        <v>--</v>
      </c>
    </row>
    <row r="73" spans="1:15" x14ac:dyDescent="0.25">
      <c r="A73" t="str">
        <f>[1]!'1455.TW-ID'</f>
        <v>1455</v>
      </c>
      <c r="B73" t="str">
        <f>[1]!'1455.TW-Name'</f>
        <v>集盛</v>
      </c>
      <c r="C73">
        <f>[1]!'1455.TW-Price'</f>
        <v>17.2</v>
      </c>
      <c r="D73">
        <f>[1]!'1455.TW-AvgPrice'</f>
        <v>17.07</v>
      </c>
      <c r="E73">
        <f>[1]!'1455.TW-PriceChangeRatio'</f>
        <v>1.47</v>
      </c>
      <c r="F73" t="str">
        <f>[1]!'1455.TW-InOutRatioNumber'</f>
        <v>50.89%</v>
      </c>
      <c r="G73">
        <f>[1]!'1455.TW-PreTotalVolumeRate'</f>
        <v>0.71</v>
      </c>
      <c r="H73">
        <f>[1]!'1455.TW-VolumeRatio'</f>
        <v>1.46</v>
      </c>
      <c r="I73">
        <f>[1]!'1455.TW-5DayAvgVol'</f>
        <v>6298</v>
      </c>
      <c r="J73">
        <f>[1]!'1455.TW-DXLOrderOutValueRatio'</f>
        <v>6.11</v>
      </c>
      <c r="K73">
        <f>[1]!'1455.TW-DXLOrderValueDiffRatio'</f>
        <v>-7.36</v>
      </c>
      <c r="L73">
        <f>[1]!'1455.TW-DLOrderValueDiffRatio'</f>
        <v>8.94</v>
      </c>
      <c r="M73" t="str">
        <f>[1]!'1455.TW-ExchangeIndustry'</f>
        <v>上市紡織纖維</v>
      </c>
      <c r="N73" t="str">
        <f>[1]!'1455.TW-Capital'</f>
        <v>53.17</v>
      </c>
      <c r="O73" t="str">
        <f>[1]!'1455.TW-Time'</f>
        <v>10:15:19</v>
      </c>
    </row>
    <row r="74" spans="1:15" x14ac:dyDescent="0.25">
      <c r="A74" t="str">
        <f>[1]!'1457.TW-ID'</f>
        <v>1457</v>
      </c>
      <c r="B74" t="str">
        <f>[1]!'1457.TW-Name'</f>
        <v>宜進</v>
      </c>
      <c r="C74">
        <f>[1]!'1457.TW-Price'</f>
        <v>17.149999999999999</v>
      </c>
      <c r="D74">
        <f>[1]!'1457.TW-AvgPrice'</f>
        <v>17.059999999999999</v>
      </c>
      <c r="E74">
        <f>[1]!'1457.TW-PriceChangeRatio'</f>
        <v>0.88</v>
      </c>
      <c r="F74" t="str">
        <f>[1]!'1457.TW-InOutRatioNumber'</f>
        <v>80.25%</v>
      </c>
      <c r="G74">
        <f>[1]!'1457.TW-PreTotalVolumeRate'</f>
        <v>0.19</v>
      </c>
      <c r="H74">
        <f>[1]!'1457.TW-VolumeRatio'</f>
        <v>0.42</v>
      </c>
      <c r="I74">
        <f>[1]!'1457.TW-5DayAvgVol'</f>
        <v>462</v>
      </c>
      <c r="J74">
        <f>[1]!'1457.TW-DXLOrderOutValueRatio'</f>
        <v>0</v>
      </c>
      <c r="K74">
        <f>[1]!'1457.TW-DXLOrderValueDiffRatio'</f>
        <v>0</v>
      </c>
      <c r="L74">
        <f>[1]!'1457.TW-DLOrderValueDiffRatio'</f>
        <v>0</v>
      </c>
      <c r="M74" t="str">
        <f>[1]!'1457.TW-ExchangeIndustry'</f>
        <v>上市紡織纖維</v>
      </c>
      <c r="N74" t="str">
        <f>[1]!'1457.TW-Capital'</f>
        <v>30.16</v>
      </c>
      <c r="O74" t="str">
        <f>[1]!'1457.TW-Time'</f>
        <v>10:12:04</v>
      </c>
    </row>
    <row r="75" spans="1:15" x14ac:dyDescent="0.25">
      <c r="A75" t="str">
        <f>[1]!'1459.TW-ID'</f>
        <v>1459</v>
      </c>
      <c r="B75" t="str">
        <f>[1]!'1459.TW-Name'</f>
        <v>聯發</v>
      </c>
      <c r="C75">
        <f>[1]!'1459.TW-Price'</f>
        <v>11.95</v>
      </c>
      <c r="D75">
        <f>[1]!'1459.TW-AvgPrice'</f>
        <v>11.99</v>
      </c>
      <c r="E75">
        <f>[1]!'1459.TW-PriceChangeRatio'</f>
        <v>1.7</v>
      </c>
      <c r="F75" t="str">
        <f>[1]!'1459.TW-InOutRatioNumber'</f>
        <v>25.88%</v>
      </c>
      <c r="G75">
        <f>[1]!'1459.TW-PreTotalVolumeRate'</f>
        <v>0.3</v>
      </c>
      <c r="H75">
        <f>[1]!'1459.TW-VolumeRatio'</f>
        <v>0.61</v>
      </c>
      <c r="I75">
        <f>[1]!'1459.TW-5DayAvgVol'</f>
        <v>312</v>
      </c>
      <c r="J75">
        <f>[1]!'1459.TW-DXLOrderOutValueRatio'</f>
        <v>0</v>
      </c>
      <c r="K75">
        <f>[1]!'1459.TW-DXLOrderValueDiffRatio'</f>
        <v>0</v>
      </c>
      <c r="L75">
        <f>[1]!'1459.TW-DLOrderValueDiffRatio'</f>
        <v>-67.11</v>
      </c>
      <c r="M75" t="str">
        <f>[1]!'1459.TW-ExchangeIndustry'</f>
        <v>上市紡織纖維</v>
      </c>
      <c r="N75" t="str">
        <f>[1]!'1459.TW-Capital'</f>
        <v>35.86</v>
      </c>
      <c r="O75" t="str">
        <f>[1]!'1459.TW-Time'</f>
        <v>10:10:04</v>
      </c>
    </row>
    <row r="76" spans="1:15" x14ac:dyDescent="0.25">
      <c r="A76" t="str">
        <f>[1]!'1460.TW-ID'</f>
        <v>1460</v>
      </c>
      <c r="B76" t="str">
        <f>[1]!'1460.TW-Name'</f>
        <v>宏遠</v>
      </c>
      <c r="C76">
        <f>[1]!'1460.TW-Price'</f>
        <v>9.92</v>
      </c>
      <c r="D76">
        <f>[1]!'1460.TW-AvgPrice'</f>
        <v>9.7899999999999991</v>
      </c>
      <c r="E76">
        <f>[1]!'1460.TW-PriceChangeRatio'</f>
        <v>4.2</v>
      </c>
      <c r="F76" t="str">
        <f>[1]!'1460.TW-InOutRatioNumber'</f>
        <v>77.24%</v>
      </c>
      <c r="G76">
        <f>[1]!'1460.TW-PreTotalVolumeRate'</f>
        <v>1.31</v>
      </c>
      <c r="H76">
        <f>[1]!'1460.TW-VolumeRatio'</f>
        <v>2.85</v>
      </c>
      <c r="I76">
        <f>[1]!'1460.TW-5DayAvgVol'</f>
        <v>1772</v>
      </c>
      <c r="J76">
        <f>[1]!'1460.TW-DXLOrderOutValueRatio'</f>
        <v>4.3899999999999997</v>
      </c>
      <c r="K76">
        <f>[1]!'1460.TW-DXLOrderValueDiffRatio'</f>
        <v>-0.83</v>
      </c>
      <c r="L76">
        <f>[1]!'1460.TW-DLOrderValueDiffRatio'</f>
        <v>11.52</v>
      </c>
      <c r="M76" t="str">
        <f>[1]!'1460.TW-ExchangeIndustry'</f>
        <v>上市紡織纖維</v>
      </c>
      <c r="N76" t="str">
        <f>[1]!'1460.TW-Capital'</f>
        <v>69.46</v>
      </c>
      <c r="O76" t="str">
        <f>[1]!'1460.TW-Time'</f>
        <v>10:15:08</v>
      </c>
    </row>
    <row r="77" spans="1:15" x14ac:dyDescent="0.25">
      <c r="A77" t="str">
        <f>[1]!'1463.TW-ID'</f>
        <v>1463</v>
      </c>
      <c r="B77" t="str">
        <f>[1]!'1463.TW-Name'</f>
        <v>強盛</v>
      </c>
      <c r="C77">
        <f>[1]!'1463.TW-Price'</f>
        <v>14.2</v>
      </c>
      <c r="D77">
        <f>[1]!'1463.TW-AvgPrice'</f>
        <v>14.1</v>
      </c>
      <c r="E77">
        <f>[1]!'1463.TW-PriceChangeRatio'</f>
        <v>1.43</v>
      </c>
      <c r="F77" t="str">
        <f>[1]!'1463.TW-InOutRatioNumber'</f>
        <v>57.14%</v>
      </c>
      <c r="G77">
        <f>[1]!'1463.TW-PreTotalVolumeRate'</f>
        <v>0.09</v>
      </c>
      <c r="H77">
        <f>[1]!'1463.TW-VolumeRatio'</f>
        <v>0.18</v>
      </c>
      <c r="I77">
        <f>[1]!'1463.TW-5DayAvgVol'</f>
        <v>140</v>
      </c>
      <c r="J77">
        <f>[1]!'1463.TW-DXLOrderOutValueRatio'</f>
        <v>0</v>
      </c>
      <c r="K77">
        <f>[1]!'1463.TW-DXLOrderValueDiffRatio'</f>
        <v>0</v>
      </c>
      <c r="L77">
        <f>[1]!'1463.TW-DLOrderValueDiffRatio'</f>
        <v>0</v>
      </c>
      <c r="M77" t="str">
        <f>[1]!'1463.TW-ExchangeIndustry'</f>
        <v>上市紡織纖維</v>
      </c>
      <c r="N77" t="str">
        <f>[1]!'1463.TW-Capital'</f>
        <v>17.33</v>
      </c>
      <c r="O77" t="str">
        <f>[1]!'1463.TW-Time'</f>
        <v>10:10:50</v>
      </c>
    </row>
    <row r="78" spans="1:15" x14ac:dyDescent="0.25">
      <c r="A78" t="str">
        <f>[1]!'1464.TW-ID'</f>
        <v>1464</v>
      </c>
      <c r="B78" t="str">
        <f>[1]!'1464.TW-Name'</f>
        <v>得力</v>
      </c>
      <c r="C78">
        <f>[1]!'1464.TW-Price'</f>
        <v>15.15</v>
      </c>
      <c r="D78">
        <f>[1]!'1464.TW-AvgPrice'</f>
        <v>15.16</v>
      </c>
      <c r="E78">
        <f>[1]!'1464.TW-PriceChangeRatio'</f>
        <v>-0.33</v>
      </c>
      <c r="F78" t="str">
        <f>[1]!'1464.TW-InOutRatioNumber'</f>
        <v>30.00%</v>
      </c>
      <c r="G78">
        <f>[1]!'1464.TW-PreTotalVolumeRate'</f>
        <v>0.38</v>
      </c>
      <c r="H78">
        <f>[1]!'1464.TW-VolumeRatio'</f>
        <v>0.97</v>
      </c>
      <c r="I78">
        <f>[1]!'1464.TW-5DayAvgVol'</f>
        <v>557</v>
      </c>
      <c r="J78">
        <f>[1]!'1464.TW-DXLOrderOutValueRatio'</f>
        <v>0</v>
      </c>
      <c r="K78">
        <f>[1]!'1464.TW-DXLOrderValueDiffRatio'</f>
        <v>0</v>
      </c>
      <c r="L78">
        <f>[1]!'1464.TW-DLOrderValueDiffRatio'</f>
        <v>0</v>
      </c>
      <c r="M78" t="str">
        <f>[1]!'1464.TW-ExchangeIndustry'</f>
        <v>上市紡織纖維</v>
      </c>
      <c r="N78" t="str">
        <f>[1]!'1464.TW-Capital'</f>
        <v>38.46</v>
      </c>
      <c r="O78" t="str">
        <f>[1]!'1464.TW-Time'</f>
        <v>10:13:55</v>
      </c>
    </row>
    <row r="79" spans="1:15" x14ac:dyDescent="0.25">
      <c r="A79" t="str">
        <f>[1]!'1465.TW-ID'</f>
        <v>1465</v>
      </c>
      <c r="B79" t="str">
        <f>[1]!'1465.TW-Name'</f>
        <v>偉全</v>
      </c>
      <c r="C79">
        <f>[1]!'1465.TW-Price'</f>
        <v>12.95</v>
      </c>
      <c r="D79">
        <f>[1]!'1465.TW-AvgPrice'</f>
        <v>12.95</v>
      </c>
      <c r="E79">
        <f>[1]!'1465.TW-PriceChangeRatio'</f>
        <v>1.57</v>
      </c>
      <c r="F79" t="str">
        <f>[1]!'1465.TW-InOutRatioNumber'</f>
        <v>100.00%</v>
      </c>
      <c r="G79">
        <f>[1]!'1465.TW-PreTotalVolumeRate'</f>
        <v>0.08</v>
      </c>
      <c r="H79">
        <f>[1]!'1465.TW-VolumeRatio'</f>
        <v>0</v>
      </c>
      <c r="I79">
        <f>[1]!'1465.TW-5DayAvgVol'</f>
        <v>52</v>
      </c>
      <c r="J79">
        <f>[1]!'1465.TW-DXLOrderOutValueRatio'</f>
        <v>0</v>
      </c>
      <c r="K79">
        <f>[1]!'1465.TW-DXLOrderValueDiffRatio'</f>
        <v>0</v>
      </c>
      <c r="L79">
        <f>[1]!'1465.TW-DLOrderValueDiffRatio'</f>
        <v>0</v>
      </c>
      <c r="M79" t="str">
        <f>[1]!'1465.TW-ExchangeIndustry'</f>
        <v>上市紡織纖維</v>
      </c>
      <c r="N79" t="str">
        <f>[1]!'1465.TW-Capital'</f>
        <v>10.36</v>
      </c>
      <c r="O79" t="str">
        <f>[1]!'1465.TW-Time'</f>
        <v>09:42:54</v>
      </c>
    </row>
    <row r="80" spans="1:15" x14ac:dyDescent="0.25">
      <c r="A80" t="str">
        <f>[1]!'1466.TW-ID'</f>
        <v>1466</v>
      </c>
      <c r="B80" t="str">
        <f>[1]!'1466.TW-Name'</f>
        <v>聚隆</v>
      </c>
      <c r="C80">
        <f>[1]!'1466.TW-Price'</f>
        <v>15.35</v>
      </c>
      <c r="D80">
        <f>[1]!'1466.TW-AvgPrice'</f>
        <v>15.42</v>
      </c>
      <c r="E80">
        <f>[1]!'1466.TW-PriceChangeRatio'</f>
        <v>0.66</v>
      </c>
      <c r="F80" t="str">
        <f>[1]!'1466.TW-InOutRatioNumber'</f>
        <v>57.58%</v>
      </c>
      <c r="G80">
        <f>[1]!'1466.TW-PreTotalVolumeRate'</f>
        <v>0.46</v>
      </c>
      <c r="H80">
        <f>[1]!'1466.TW-VolumeRatio'</f>
        <v>1.67</v>
      </c>
      <c r="I80">
        <f>[1]!'1466.TW-5DayAvgVol'</f>
        <v>361</v>
      </c>
      <c r="J80">
        <f>[1]!'1466.TW-DXLOrderOutValueRatio'</f>
        <v>0</v>
      </c>
      <c r="K80">
        <f>[1]!'1466.TW-DXLOrderValueDiffRatio'</f>
        <v>0</v>
      </c>
      <c r="L80">
        <f>[1]!'1466.TW-DLOrderValueDiffRatio'</f>
        <v>0</v>
      </c>
      <c r="M80" t="str">
        <f>[1]!'1466.TW-ExchangeIndustry'</f>
        <v>上市紡織纖維</v>
      </c>
      <c r="N80" t="str">
        <f>[1]!'1466.TW-Capital'</f>
        <v>11.12</v>
      </c>
      <c r="O80" t="str">
        <f>[1]!'1466.TW-Time'</f>
        <v>09:55:17</v>
      </c>
    </row>
    <row r="81" spans="1:15" x14ac:dyDescent="0.25">
      <c r="A81" t="str">
        <f>[1]!'1467.TW-ID'</f>
        <v>1467</v>
      </c>
      <c r="B81" t="str">
        <f>[1]!'1467.TW-Name'</f>
        <v>南緯</v>
      </c>
      <c r="C81">
        <f>[1]!'1467.TW-Price'</f>
        <v>14.2</v>
      </c>
      <c r="D81">
        <f>[1]!'1467.TW-AvgPrice'</f>
        <v>14.16</v>
      </c>
      <c r="E81">
        <f>[1]!'1467.TW-PriceChangeRatio'</f>
        <v>0.71</v>
      </c>
      <c r="F81" t="str">
        <f>[1]!'1467.TW-InOutRatioNumber'</f>
        <v>34.04%</v>
      </c>
      <c r="G81">
        <f>[1]!'1467.TW-PreTotalVolumeRate'</f>
        <v>0.05</v>
      </c>
      <c r="H81">
        <f>[1]!'1467.TW-VolumeRatio'</f>
        <v>0.12</v>
      </c>
      <c r="I81">
        <f>[1]!'1467.TW-5DayAvgVol'</f>
        <v>1214</v>
      </c>
      <c r="J81">
        <f>[1]!'1467.TW-DXLOrderOutValueRatio'</f>
        <v>0</v>
      </c>
      <c r="K81">
        <f>[1]!'1467.TW-DXLOrderValueDiffRatio'</f>
        <v>0</v>
      </c>
      <c r="L81">
        <f>[1]!'1467.TW-DLOrderValueDiffRatio'</f>
        <v>0</v>
      </c>
      <c r="M81" t="str">
        <f>[1]!'1467.TW-ExchangeIndustry'</f>
        <v>上市紡織纖維</v>
      </c>
      <c r="N81" t="str">
        <f>[1]!'1467.TW-Capital'</f>
        <v>23.36</v>
      </c>
      <c r="O81" t="str">
        <f>[1]!'1467.TW-Time'</f>
        <v>10:11:52</v>
      </c>
    </row>
    <row r="82" spans="1:15" x14ac:dyDescent="0.25">
      <c r="A82" t="str">
        <f>[1]!'1468.TW-ID'</f>
        <v>1468</v>
      </c>
      <c r="B82" t="str">
        <f>[1]!'1468.TW-Name'</f>
        <v>昶和</v>
      </c>
      <c r="C82">
        <f>[1]!'1468.TW-Price'</f>
        <v>12.95</v>
      </c>
      <c r="D82">
        <f>[1]!'1468.TW-AvgPrice'</f>
        <v>12.88</v>
      </c>
      <c r="E82">
        <f>[1]!'1468.TW-PriceChangeRatio'</f>
        <v>0</v>
      </c>
      <c r="F82" t="str">
        <f>[1]!'1468.TW-InOutRatioNumber'</f>
        <v>71.43%</v>
      </c>
      <c r="G82">
        <f>[1]!'1468.TW-PreTotalVolumeRate'</f>
        <v>0.47</v>
      </c>
      <c r="H82">
        <f>[1]!'1468.TW-VolumeRatio'</f>
        <v>0.88</v>
      </c>
      <c r="I82">
        <f>[1]!'1468.TW-5DayAvgVol'</f>
        <v>119</v>
      </c>
      <c r="J82">
        <f>[1]!'1468.TW-DXLOrderOutValueRatio'</f>
        <v>0</v>
      </c>
      <c r="K82">
        <f>[1]!'1468.TW-DXLOrderValueDiffRatio'</f>
        <v>0</v>
      </c>
      <c r="L82">
        <f>[1]!'1468.TW-DLOrderValueDiffRatio'</f>
        <v>0</v>
      </c>
      <c r="M82" t="str">
        <f>[1]!'1468.TW-ExchangeIndustry'</f>
        <v>上市紡織纖維</v>
      </c>
      <c r="N82" t="str">
        <f>[1]!'1468.TW-Capital'</f>
        <v>16.04</v>
      </c>
      <c r="O82" t="str">
        <f>[1]!'1468.TW-Time'</f>
        <v>10:14:49</v>
      </c>
    </row>
    <row r="83" spans="1:15" x14ac:dyDescent="0.25">
      <c r="A83" t="str">
        <f>[1]!'1470.TW-ID'</f>
        <v>1470</v>
      </c>
      <c r="B83" t="str">
        <f>[1]!'1470.TW-Name'</f>
        <v>大統新創</v>
      </c>
      <c r="C83">
        <f>[1]!'1470.TW-Price'</f>
        <v>18.2</v>
      </c>
      <c r="D83">
        <f>[1]!'1470.TW-AvgPrice'</f>
        <v>18.02</v>
      </c>
      <c r="E83">
        <f>[1]!'1470.TW-PriceChangeRatio'</f>
        <v>0.55000000000000004</v>
      </c>
      <c r="F83" t="str">
        <f>[1]!'1470.TW-InOutRatioNumber'</f>
        <v>28.57%</v>
      </c>
      <c r="G83">
        <f>[1]!'1470.TW-PreTotalVolumeRate'</f>
        <v>3.33</v>
      </c>
      <c r="H83">
        <f>[1]!'1470.TW-VolumeRatio'</f>
        <v>25.56</v>
      </c>
      <c r="I83">
        <f>[1]!'1470.TW-5DayAvgVol'</f>
        <v>55</v>
      </c>
      <c r="J83">
        <f>[1]!'1470.TW-DXLOrderOutValueRatio'</f>
        <v>0</v>
      </c>
      <c r="K83">
        <f>[1]!'1470.TW-DXLOrderValueDiffRatio'</f>
        <v>0</v>
      </c>
      <c r="L83">
        <f>[1]!'1470.TW-DLOrderValueDiffRatio'</f>
        <v>0</v>
      </c>
      <c r="M83" t="str">
        <f>[1]!'1470.TW-ExchangeIndustry'</f>
        <v>上市紡織纖維</v>
      </c>
      <c r="N83" t="str">
        <f>[1]!'1470.TW-Capital'</f>
        <v>8.58</v>
      </c>
      <c r="O83" t="str">
        <f>[1]!'1470.TW-Time'</f>
        <v>09:06:29</v>
      </c>
    </row>
    <row r="84" spans="1:15" x14ac:dyDescent="0.25">
      <c r="A84" t="str">
        <f>[1]!'1473.TW-ID'</f>
        <v>1473</v>
      </c>
      <c r="B84" t="str">
        <f>[1]!'1473.TW-Name'</f>
        <v>台南</v>
      </c>
      <c r="C84">
        <f>[1]!'1473.TW-Price'</f>
        <v>18.3</v>
      </c>
      <c r="D84">
        <f>[1]!'1473.TW-AvgPrice'</f>
        <v>18.29</v>
      </c>
      <c r="E84">
        <f>[1]!'1473.TW-PriceChangeRatio'</f>
        <v>2.81</v>
      </c>
      <c r="F84" t="str">
        <f>[1]!'1473.TW-InOutRatioNumber'</f>
        <v>53.36%</v>
      </c>
      <c r="G84">
        <f>[1]!'1473.TW-PreTotalVolumeRate'</f>
        <v>2.36</v>
      </c>
      <c r="H84">
        <f>[1]!'1473.TW-VolumeRatio'</f>
        <v>75.61</v>
      </c>
      <c r="I84">
        <f>[1]!'1473.TW-5DayAvgVol'</f>
        <v>62</v>
      </c>
      <c r="J84">
        <f>[1]!'1473.TW-DXLOrderOutValueRatio'</f>
        <v>0</v>
      </c>
      <c r="K84">
        <f>[1]!'1473.TW-DXLOrderValueDiffRatio'</f>
        <v>0</v>
      </c>
      <c r="L84">
        <f>[1]!'1473.TW-DLOrderValueDiffRatio'</f>
        <v>12.56</v>
      </c>
      <c r="M84" t="str">
        <f>[1]!'1473.TW-ExchangeIndustry'</f>
        <v>上市紡織纖維</v>
      </c>
      <c r="N84" t="str">
        <f>[1]!'1473.TW-Capital'</f>
        <v>14.72</v>
      </c>
      <c r="O84" t="str">
        <f>[1]!'1473.TW-Time'</f>
        <v>10:10:24</v>
      </c>
    </row>
    <row r="85" spans="1:15" x14ac:dyDescent="0.25">
      <c r="A85" t="str">
        <f>[1]!'1474.TW-ID'</f>
        <v>1474</v>
      </c>
      <c r="B85" t="str">
        <f>[1]!'1474.TW-Name'</f>
        <v>弘裕</v>
      </c>
      <c r="C85">
        <f>[1]!'1474.TW-Price'</f>
        <v>16.05</v>
      </c>
      <c r="D85">
        <f>[1]!'1474.TW-AvgPrice'</f>
        <v>15.9</v>
      </c>
      <c r="E85">
        <f>[1]!'1474.TW-PriceChangeRatio'</f>
        <v>8.08</v>
      </c>
      <c r="F85" t="str">
        <f>[1]!'1474.TW-InOutRatioNumber'</f>
        <v>72.80%</v>
      </c>
      <c r="G85">
        <f>[1]!'1474.TW-PreTotalVolumeRate'</f>
        <v>4.8600000000000003</v>
      </c>
      <c r="H85">
        <f>[1]!'1474.TW-VolumeRatio'</f>
        <v>10.79</v>
      </c>
      <c r="I85">
        <f>[1]!'1474.TW-5DayAvgVol'</f>
        <v>1407</v>
      </c>
      <c r="J85">
        <f>[1]!'1474.TW-DXLOrderOutValueRatio'</f>
        <v>25.35</v>
      </c>
      <c r="K85">
        <f>[1]!'1474.TW-DXLOrderValueDiffRatio'</f>
        <v>17.98</v>
      </c>
      <c r="L85">
        <f>[1]!'1474.TW-DLOrderValueDiffRatio'</f>
        <v>10.69</v>
      </c>
      <c r="M85" t="str">
        <f>[1]!'1474.TW-ExchangeIndustry'</f>
        <v>上市紡織纖維</v>
      </c>
      <c r="N85" t="str">
        <f>[1]!'1474.TW-Capital'</f>
        <v>12.99</v>
      </c>
      <c r="O85" t="str">
        <f>[1]!'1474.TW-Time'</f>
        <v>10:15:11</v>
      </c>
    </row>
    <row r="86" spans="1:15" x14ac:dyDescent="0.25">
      <c r="A86" t="str">
        <f>[1]!'1475.TW-ID'</f>
        <v>1475</v>
      </c>
      <c r="B86" t="str">
        <f>[1]!'1475.TW-Name'</f>
        <v>業旺</v>
      </c>
      <c r="C86">
        <f>[1]!'1475.TW-Price'</f>
        <v>46.5</v>
      </c>
      <c r="D86">
        <f>[1]!'1475.TW-AvgPrice'</f>
        <v>46.36</v>
      </c>
      <c r="E86">
        <f>[1]!'1475.TW-PriceChangeRatio'</f>
        <v>0.32</v>
      </c>
      <c r="F86" t="str">
        <f>[1]!'1475.TW-InOutRatioNumber'</f>
        <v>16.67%</v>
      </c>
      <c r="G86">
        <f>[1]!'1475.TW-PreTotalVolumeRate'</f>
        <v>1</v>
      </c>
      <c r="H86">
        <f>[1]!'1475.TW-VolumeRatio'</f>
        <v>3</v>
      </c>
      <c r="I86">
        <f>[1]!'1475.TW-5DayAvgVol'</f>
        <v>37</v>
      </c>
      <c r="J86">
        <f>[1]!'1475.TW-DXLOrderOutValueRatio'</f>
        <v>0</v>
      </c>
      <c r="K86">
        <f>[1]!'1475.TW-DXLOrderValueDiffRatio'</f>
        <v>0</v>
      </c>
      <c r="L86">
        <f>[1]!'1475.TW-DLOrderValueDiffRatio'</f>
        <v>0</v>
      </c>
      <c r="M86" t="str">
        <f>[1]!'1475.TW-ExchangeIndustry'</f>
        <v>上市紡織纖維</v>
      </c>
      <c r="N86" t="str">
        <f>[1]!'1475.TW-Capital'</f>
        <v>2.60</v>
      </c>
      <c r="O86" t="str">
        <f>[1]!'1475.TW-Time'</f>
        <v>10:11:07</v>
      </c>
    </row>
    <row r="87" spans="1:15" x14ac:dyDescent="0.25">
      <c r="A87" t="str">
        <f>[1]!'1476.TW-ID'</f>
        <v>1476</v>
      </c>
      <c r="B87" t="str">
        <f>[1]!'1476.TW-Name'</f>
        <v>儒鴻</v>
      </c>
      <c r="C87">
        <f>[1]!'1476.TW-Price'</f>
        <v>568</v>
      </c>
      <c r="D87">
        <f>[1]!'1476.TW-AvgPrice'</f>
        <v>562.79999999999995</v>
      </c>
      <c r="E87">
        <f>[1]!'1476.TW-PriceChangeRatio'</f>
        <v>2.71</v>
      </c>
      <c r="F87" t="str">
        <f>[1]!'1476.TW-InOutRatioNumber'</f>
        <v>53.09%</v>
      </c>
      <c r="G87">
        <f>[1]!'1476.TW-PreTotalVolumeRate'</f>
        <v>0.35</v>
      </c>
      <c r="H87">
        <f>[1]!'1476.TW-VolumeRatio'</f>
        <v>0.78</v>
      </c>
      <c r="I87">
        <f>[1]!'1476.TW-5DayAvgVol'</f>
        <v>1072</v>
      </c>
      <c r="J87">
        <f>[1]!'1476.TW-DXLOrderOutValueRatio'</f>
        <v>2.46</v>
      </c>
      <c r="K87">
        <f>[1]!'1476.TW-DXLOrderValueDiffRatio'</f>
        <v>-6.72</v>
      </c>
      <c r="L87">
        <f>[1]!'1476.TW-DLOrderValueDiffRatio'</f>
        <v>-3.37</v>
      </c>
      <c r="M87" t="str">
        <f>[1]!'1476.TW-ExchangeIndustry'</f>
        <v>上市紡織纖維</v>
      </c>
      <c r="N87" t="str">
        <f>[1]!'1476.TW-Capital'</f>
        <v>27.44</v>
      </c>
      <c r="O87" t="str">
        <f>[1]!'1476.TW-Time'</f>
        <v>10:14:16</v>
      </c>
    </row>
    <row r="88" spans="1:15" x14ac:dyDescent="0.25">
      <c r="A88" t="str">
        <f>[1]!'1477.TW-ID'</f>
        <v>1477</v>
      </c>
      <c r="B88" t="str">
        <f>[1]!'1477.TW-Name'</f>
        <v>聚陽</v>
      </c>
      <c r="C88">
        <f>[1]!'1477.TW-Price'</f>
        <v>220</v>
      </c>
      <c r="D88">
        <f>[1]!'1477.TW-AvgPrice'</f>
        <v>216.83</v>
      </c>
      <c r="E88">
        <f>[1]!'1477.TW-PriceChangeRatio'</f>
        <v>5.26</v>
      </c>
      <c r="F88" t="str">
        <f>[1]!'1477.TW-InOutRatioNumber'</f>
        <v>69.71%</v>
      </c>
      <c r="G88">
        <f>[1]!'1477.TW-PreTotalVolumeRate'</f>
        <v>0.33</v>
      </c>
      <c r="H88">
        <f>[1]!'1477.TW-VolumeRatio'</f>
        <v>1.0900000000000001</v>
      </c>
      <c r="I88">
        <f>[1]!'1477.TW-5DayAvgVol'</f>
        <v>1610</v>
      </c>
      <c r="J88">
        <f>[1]!'1477.TW-DXLOrderOutValueRatio'</f>
        <v>7.94</v>
      </c>
      <c r="K88">
        <f>[1]!'1477.TW-DXLOrderValueDiffRatio'</f>
        <v>4.49</v>
      </c>
      <c r="L88">
        <f>[1]!'1477.TW-DLOrderValueDiffRatio'</f>
        <v>16.399999999999999</v>
      </c>
      <c r="M88" t="str">
        <f>[1]!'1477.TW-ExchangeIndustry'</f>
        <v>上市紡織纖維</v>
      </c>
      <c r="N88" t="str">
        <f>[1]!'1477.TW-Capital'</f>
        <v>24.19</v>
      </c>
      <c r="O88" t="str">
        <f>[1]!'1477.TW-Time'</f>
        <v>10:14:47</v>
      </c>
    </row>
    <row r="89" spans="1:15" x14ac:dyDescent="0.25">
      <c r="A89" t="str">
        <f>[1]!'4414.TW-ID'</f>
        <v>4414</v>
      </c>
      <c r="B89" t="str">
        <f>[1]!'4414.TW-Name'</f>
        <v>如興</v>
      </c>
      <c r="C89">
        <f>[1]!'4414.TW-Price'</f>
        <v>8.26</v>
      </c>
      <c r="D89">
        <f>[1]!'4414.TW-AvgPrice'</f>
        <v>8.27</v>
      </c>
      <c r="E89">
        <f>[1]!'4414.TW-PriceChangeRatio'</f>
        <v>2.61</v>
      </c>
      <c r="F89" t="str">
        <f>[1]!'4414.TW-InOutRatioNumber'</f>
        <v>62.45%</v>
      </c>
      <c r="G89">
        <f>[1]!'4414.TW-PreTotalVolumeRate'</f>
        <v>1.63</v>
      </c>
      <c r="H89">
        <f>[1]!'4414.TW-VolumeRatio'</f>
        <v>3.98</v>
      </c>
      <c r="I89">
        <f>[1]!'4414.TW-5DayAvgVol'</f>
        <v>1728</v>
      </c>
      <c r="J89">
        <f>[1]!'4414.TW-DXLOrderOutValueRatio'</f>
        <v>0</v>
      </c>
      <c r="K89">
        <f>[1]!'4414.TW-DXLOrderValueDiffRatio'</f>
        <v>0</v>
      </c>
      <c r="L89">
        <f>[1]!'4414.TW-DLOrderValueDiffRatio'</f>
        <v>-6.21</v>
      </c>
      <c r="M89" t="str">
        <f>[1]!'4414.TW-ExchangeIndustry'</f>
        <v>上市紡織纖維</v>
      </c>
      <c r="N89" t="str">
        <f>[1]!'4414.TW-Capital'</f>
        <v>81.89</v>
      </c>
      <c r="O89" t="str">
        <f>[1]!'4414.TW-Time'</f>
        <v>10:11:54</v>
      </c>
    </row>
    <row r="90" spans="1:15" x14ac:dyDescent="0.25">
      <c r="A90" t="str">
        <f>[1]!'4426.TW-ID'</f>
        <v>4426</v>
      </c>
      <c r="B90" t="str">
        <f>[1]!'4426.TW-Name'</f>
        <v>利勤</v>
      </c>
      <c r="C90">
        <f>[1]!'4426.TW-Price'</f>
        <v>18.3</v>
      </c>
      <c r="D90">
        <f>[1]!'4426.TW-AvgPrice'</f>
        <v>18.170000000000002</v>
      </c>
      <c r="E90">
        <f>[1]!'4426.TW-PriceChangeRatio'</f>
        <v>0.55000000000000004</v>
      </c>
      <c r="F90" t="str">
        <f>[1]!'4426.TW-InOutRatioNumber'</f>
        <v>51.92%</v>
      </c>
      <c r="G90">
        <f>[1]!'4426.TW-PreTotalVolumeRate'</f>
        <v>0.63</v>
      </c>
      <c r="H90">
        <f>[1]!'4426.TW-VolumeRatio'</f>
        <v>1.66</v>
      </c>
      <c r="I90">
        <f>[1]!'4426.TW-5DayAvgVol'</f>
        <v>96</v>
      </c>
      <c r="J90">
        <f>[1]!'4426.TW-DXLOrderOutValueRatio'</f>
        <v>0</v>
      </c>
      <c r="K90">
        <f>[1]!'4426.TW-DXLOrderValueDiffRatio'</f>
        <v>0</v>
      </c>
      <c r="L90">
        <f>[1]!'4426.TW-DLOrderValueDiffRatio'</f>
        <v>0</v>
      </c>
      <c r="M90" t="str">
        <f>[1]!'4426.TW-ExchangeIndustry'</f>
        <v>上市紡織纖維</v>
      </c>
      <c r="N90" t="str">
        <f>[1]!'4426.TW-Capital'</f>
        <v>17.27</v>
      </c>
      <c r="O90" t="str">
        <f>[1]!'4426.TW-Time'</f>
        <v>09:55:48</v>
      </c>
    </row>
    <row r="91" spans="1:15" x14ac:dyDescent="0.25">
      <c r="A91" t="str">
        <f>[1]!'4438.TW-ID'</f>
        <v>4438</v>
      </c>
      <c r="B91" t="str">
        <f>[1]!'4438.TW-Name'</f>
        <v>廣越</v>
      </c>
      <c r="C91">
        <f>[1]!'4438.TW-Price'</f>
        <v>115</v>
      </c>
      <c r="D91">
        <f>[1]!'4438.TW-AvgPrice'</f>
        <v>114.83</v>
      </c>
      <c r="E91">
        <f>[1]!'4438.TW-PriceChangeRatio'</f>
        <v>0.88</v>
      </c>
      <c r="F91" t="str">
        <f>[1]!'4438.TW-InOutRatioNumber'</f>
        <v>72.22%</v>
      </c>
      <c r="G91">
        <f>[1]!'4438.TW-PreTotalVolumeRate'</f>
        <v>0.43</v>
      </c>
      <c r="H91">
        <f>[1]!'4438.TW-VolumeRatio'</f>
        <v>1.07</v>
      </c>
      <c r="I91">
        <f>[1]!'4438.TW-5DayAvgVol'</f>
        <v>52</v>
      </c>
      <c r="J91">
        <f>[1]!'4438.TW-DXLOrderOutValueRatio'</f>
        <v>0</v>
      </c>
      <c r="K91">
        <f>[1]!'4438.TW-DXLOrderValueDiffRatio'</f>
        <v>0</v>
      </c>
      <c r="L91">
        <f>[1]!'4438.TW-DLOrderValueDiffRatio'</f>
        <v>0</v>
      </c>
      <c r="M91" t="str">
        <f>[1]!'4438.TW-ExchangeIndustry'</f>
        <v>上市紡織纖維</v>
      </c>
      <c r="N91" t="str">
        <f>[1]!'4438.TW-Capital'</f>
        <v>10.34</v>
      </c>
      <c r="O91" t="str">
        <f>[1]!'4438.TW-Time'</f>
        <v>10:06:25</v>
      </c>
    </row>
    <row r="92" spans="1:15" x14ac:dyDescent="0.25">
      <c r="A92" t="str">
        <f>[1]!'4439.TW-ID'</f>
        <v>4439</v>
      </c>
      <c r="B92" t="str">
        <f>[1]!'4439.TW-Name'</f>
        <v>冠星-KY</v>
      </c>
      <c r="C92">
        <f>[1]!'4439.TW-Price'</f>
        <v>138.5</v>
      </c>
      <c r="D92">
        <f>[1]!'4439.TW-AvgPrice'</f>
        <v>138.5</v>
      </c>
      <c r="E92">
        <f>[1]!'4439.TW-PriceChangeRatio'</f>
        <v>0.73</v>
      </c>
      <c r="F92" t="str">
        <f>[1]!'4439.TW-InOutRatioNumber'</f>
        <v>100.00%</v>
      </c>
      <c r="G92">
        <f>[1]!'4439.TW-PreTotalVolumeRate'</f>
        <v>0.06</v>
      </c>
      <c r="H92">
        <f>[1]!'4439.TW-VolumeRatio'</f>
        <v>0</v>
      </c>
      <c r="I92">
        <f>[1]!'4439.TW-5DayAvgVol'</f>
        <v>21</v>
      </c>
      <c r="J92">
        <f>[1]!'4439.TW-DXLOrderOutValueRatio'</f>
        <v>0</v>
      </c>
      <c r="K92">
        <f>[1]!'4439.TW-DXLOrderValueDiffRatio'</f>
        <v>0</v>
      </c>
      <c r="L92">
        <f>[1]!'4439.TW-DLOrderValueDiffRatio'</f>
        <v>0</v>
      </c>
      <c r="M92" t="str">
        <f>[1]!'4439.TW-ExchangeIndustry'</f>
        <v>上市紡織纖維</v>
      </c>
      <c r="N92" t="str">
        <f>[1]!'4439.TW-Capital'</f>
        <v>3.15</v>
      </c>
      <c r="O92" t="str">
        <f>[1]!'4439.TW-Time'</f>
        <v>09:56:55</v>
      </c>
    </row>
    <row r="93" spans="1:15" x14ac:dyDescent="0.25">
      <c r="A93" t="str">
        <f>[1]!'1503.TW-ID'</f>
        <v>1503</v>
      </c>
      <c r="B93" t="str">
        <f>[1]!'1503.TW-Name'</f>
        <v>士電</v>
      </c>
      <c r="C93">
        <f>[1]!'1503.TW-Price'</f>
        <v>50.5</v>
      </c>
      <c r="D93">
        <f>[1]!'1503.TW-AvgPrice'</f>
        <v>50.36</v>
      </c>
      <c r="E93">
        <f>[1]!'1503.TW-PriceChangeRatio'</f>
        <v>0.2</v>
      </c>
      <c r="F93" t="str">
        <f>[1]!'1503.TW-InOutRatioNumber'</f>
        <v>33.33%</v>
      </c>
      <c r="G93">
        <f>[1]!'1503.TW-PreTotalVolumeRate'</f>
        <v>0.13</v>
      </c>
      <c r="H93">
        <f>[1]!'1503.TW-VolumeRatio'</f>
        <v>0.4</v>
      </c>
      <c r="I93">
        <f>[1]!'1503.TW-5DayAvgVol'</f>
        <v>153</v>
      </c>
      <c r="J93">
        <f>[1]!'1503.TW-DXLOrderOutValueRatio'</f>
        <v>0</v>
      </c>
      <c r="K93">
        <f>[1]!'1503.TW-DXLOrderValueDiffRatio'</f>
        <v>0</v>
      </c>
      <c r="L93">
        <f>[1]!'1503.TW-DLOrderValueDiffRatio'</f>
        <v>0</v>
      </c>
      <c r="M93" t="str">
        <f>[1]!'1503.TW-ExchangeIndustry'</f>
        <v>上市電機機械</v>
      </c>
      <c r="N93" t="str">
        <f>[1]!'1503.TW-Capital'</f>
        <v>52.10</v>
      </c>
      <c r="O93" t="str">
        <f>[1]!'1503.TW-Time'</f>
        <v>10:07:24</v>
      </c>
    </row>
    <row r="94" spans="1:15" x14ac:dyDescent="0.25">
      <c r="A94" t="str">
        <f>[1]!'1504.TW-ID'</f>
        <v>1504</v>
      </c>
      <c r="B94" t="str">
        <f>[1]!'1504.TW-Name'</f>
        <v>東元</v>
      </c>
      <c r="C94">
        <f>[1]!'1504.TW-Price'</f>
        <v>30</v>
      </c>
      <c r="D94">
        <f>[1]!'1504.TW-AvgPrice'</f>
        <v>30.1</v>
      </c>
      <c r="E94">
        <f>[1]!'1504.TW-PriceChangeRatio'</f>
        <v>-0.66</v>
      </c>
      <c r="F94" t="str">
        <f>[1]!'1504.TW-InOutRatioNumber'</f>
        <v>48.17%</v>
      </c>
      <c r="G94">
        <f>[1]!'1504.TW-PreTotalVolumeRate'</f>
        <v>0.27</v>
      </c>
      <c r="H94">
        <f>[1]!'1504.TW-VolumeRatio'</f>
        <v>0.65</v>
      </c>
      <c r="I94">
        <f>[1]!'1504.TW-5DayAvgVol'</f>
        <v>1861</v>
      </c>
      <c r="J94">
        <f>[1]!'1504.TW-DXLOrderOutValueRatio'</f>
        <v>0</v>
      </c>
      <c r="K94">
        <f>[1]!'1504.TW-DXLOrderValueDiffRatio'</f>
        <v>0</v>
      </c>
      <c r="L94">
        <f>[1]!'1504.TW-DLOrderValueDiffRatio'</f>
        <v>-5.87</v>
      </c>
      <c r="M94" t="str">
        <f>[1]!'1504.TW-ExchangeIndustry'</f>
        <v>上市電機機械</v>
      </c>
      <c r="N94" t="str">
        <f>[1]!'1504.TW-Capital'</f>
        <v>213.88</v>
      </c>
      <c r="O94" t="str">
        <f>[1]!'1504.TW-Time'</f>
        <v>10:14:57</v>
      </c>
    </row>
    <row r="95" spans="1:15" x14ac:dyDescent="0.25">
      <c r="A95" t="str">
        <f>[1]!'1506.TW-ID'</f>
        <v>1506</v>
      </c>
      <c r="B95" t="str">
        <f>[1]!'1506.TW-Name'</f>
        <v>正道</v>
      </c>
      <c r="C95">
        <f>[1]!'1506.TW-Price'</f>
        <v>10.199999999999999</v>
      </c>
      <c r="D95">
        <f>[1]!'1506.TW-AvgPrice'</f>
        <v>10.199999999999999</v>
      </c>
      <c r="E95">
        <f>[1]!'1506.TW-PriceChangeRatio'</f>
        <v>1.49</v>
      </c>
      <c r="F95" t="str">
        <f>[1]!'1506.TW-InOutRatioNumber'</f>
        <v>79.82%</v>
      </c>
      <c r="G95">
        <f>[1]!'1506.TW-PreTotalVolumeRate'</f>
        <v>0.84</v>
      </c>
      <c r="H95">
        <f>[1]!'1506.TW-VolumeRatio'</f>
        <v>5.25</v>
      </c>
      <c r="I95">
        <f>[1]!'1506.TW-5DayAvgVol'</f>
        <v>160</v>
      </c>
      <c r="J95">
        <f>[1]!'1506.TW-DXLOrderOutValueRatio'</f>
        <v>0</v>
      </c>
      <c r="K95">
        <f>[1]!'1506.TW-DXLOrderValueDiffRatio'</f>
        <v>0</v>
      </c>
      <c r="L95">
        <f>[1]!'1506.TW-DLOrderValueDiffRatio'</f>
        <v>0</v>
      </c>
      <c r="M95" t="str">
        <f>[1]!'1506.TW-ExchangeIndustry'</f>
        <v>上市電機機械</v>
      </c>
      <c r="N95" t="str">
        <f>[1]!'1506.TW-Capital'</f>
        <v>16.35</v>
      </c>
      <c r="O95" t="str">
        <f>[1]!'1506.TW-Time'</f>
        <v>10:13:57</v>
      </c>
    </row>
    <row r="96" spans="1:15" x14ac:dyDescent="0.25">
      <c r="A96" t="str">
        <f>[1]!'1507.TW-ID'</f>
        <v>1507</v>
      </c>
      <c r="B96" t="str">
        <f>[1]!'1507.TW-Name'</f>
        <v>永大</v>
      </c>
      <c r="C96">
        <f>[1]!'1507.TW-Price'</f>
        <v>64.5</v>
      </c>
      <c r="D96">
        <f>[1]!'1507.TW-AvgPrice'</f>
        <v>64.53</v>
      </c>
      <c r="E96">
        <f>[1]!'1507.TW-PriceChangeRatio'</f>
        <v>0</v>
      </c>
      <c r="F96" t="str">
        <f>[1]!'1507.TW-InOutRatioNumber'</f>
        <v>40.00%</v>
      </c>
      <c r="G96">
        <f>[1]!'1507.TW-PreTotalVolumeRate'</f>
        <v>0.1</v>
      </c>
      <c r="H96">
        <f>[1]!'1507.TW-VolumeRatio'</f>
        <v>0.19</v>
      </c>
      <c r="I96">
        <f>[1]!'1507.TW-5DayAvgVol'</f>
        <v>287</v>
      </c>
      <c r="J96">
        <f>[1]!'1507.TW-DXLOrderOutValueRatio'</f>
        <v>0</v>
      </c>
      <c r="K96">
        <f>[1]!'1507.TW-DXLOrderValueDiffRatio'</f>
        <v>0</v>
      </c>
      <c r="L96">
        <f>[1]!'1507.TW-DLOrderValueDiffRatio'</f>
        <v>0</v>
      </c>
      <c r="M96" t="str">
        <f>[1]!'1507.TW-ExchangeIndustry'</f>
        <v>上市電機機械</v>
      </c>
      <c r="N96" t="str">
        <f>[1]!'1507.TW-Capital'</f>
        <v>41.08</v>
      </c>
      <c r="O96" t="str">
        <f>[1]!'1507.TW-Time'</f>
        <v>10:10:06</v>
      </c>
    </row>
    <row r="97" spans="1:15" x14ac:dyDescent="0.25">
      <c r="A97" t="str">
        <f>[1]!'1513.TW-ID'</f>
        <v>1513</v>
      </c>
      <c r="B97" t="str">
        <f>[1]!'1513.TW-Name'</f>
        <v>中興電</v>
      </c>
      <c r="C97">
        <f>[1]!'1513.TW-Price'</f>
        <v>45.85</v>
      </c>
      <c r="D97">
        <f>[1]!'1513.TW-AvgPrice'</f>
        <v>46.05</v>
      </c>
      <c r="E97">
        <f>[1]!'1513.TW-PriceChangeRatio'</f>
        <v>0.22</v>
      </c>
      <c r="F97" t="str">
        <f>[1]!'1513.TW-InOutRatioNumber'</f>
        <v>47.52%</v>
      </c>
      <c r="G97">
        <f>[1]!'1513.TW-PreTotalVolumeRate'</f>
        <v>0.44</v>
      </c>
      <c r="H97">
        <f>[1]!'1513.TW-VolumeRatio'</f>
        <v>0.91</v>
      </c>
      <c r="I97">
        <f>[1]!'1513.TW-5DayAvgVol'</f>
        <v>2577</v>
      </c>
      <c r="J97">
        <f>[1]!'1513.TW-DXLOrderOutValueRatio'</f>
        <v>8.74</v>
      </c>
      <c r="K97">
        <f>[1]!'1513.TW-DXLOrderValueDiffRatio'</f>
        <v>-1.96</v>
      </c>
      <c r="L97">
        <f>[1]!'1513.TW-DLOrderValueDiffRatio'</f>
        <v>-6.1</v>
      </c>
      <c r="M97" t="str">
        <f>[1]!'1513.TW-ExchangeIndustry'</f>
        <v>上市電機機械</v>
      </c>
      <c r="N97" t="str">
        <f>[1]!'1513.TW-Capital'</f>
        <v>47.61</v>
      </c>
      <c r="O97" t="str">
        <f>[1]!'1513.TW-Time'</f>
        <v>10:14:40</v>
      </c>
    </row>
    <row r="98" spans="1:15" x14ac:dyDescent="0.25">
      <c r="A98" t="str">
        <f>[1]!'1514.TW-ID'</f>
        <v>1514</v>
      </c>
      <c r="B98" t="str">
        <f>[1]!'1514.TW-Name'</f>
        <v>亞力</v>
      </c>
      <c r="C98">
        <f>[1]!'1514.TW-Price'</f>
        <v>22.85</v>
      </c>
      <c r="D98">
        <f>[1]!'1514.TW-AvgPrice'</f>
        <v>22.83</v>
      </c>
      <c r="E98">
        <f>[1]!'1514.TW-PriceChangeRatio'</f>
        <v>1.1100000000000001</v>
      </c>
      <c r="F98" t="str">
        <f>[1]!'1514.TW-InOutRatioNumber'</f>
        <v>55.32%</v>
      </c>
      <c r="G98">
        <f>[1]!'1514.TW-PreTotalVolumeRate'</f>
        <v>0.5</v>
      </c>
      <c r="H98">
        <f>[1]!'1514.TW-VolumeRatio'</f>
        <v>1.1299999999999999</v>
      </c>
      <c r="I98">
        <f>[1]!'1514.TW-5DayAvgVol'</f>
        <v>365</v>
      </c>
      <c r="J98">
        <f>[1]!'1514.TW-DXLOrderOutValueRatio'</f>
        <v>0</v>
      </c>
      <c r="K98">
        <f>[1]!'1514.TW-DXLOrderValueDiffRatio'</f>
        <v>0</v>
      </c>
      <c r="L98">
        <f>[1]!'1514.TW-DLOrderValueDiffRatio'</f>
        <v>0</v>
      </c>
      <c r="M98" t="str">
        <f>[1]!'1514.TW-ExchangeIndustry'</f>
        <v>上市電機機械</v>
      </c>
      <c r="N98" t="str">
        <f>[1]!'1514.TW-Capital'</f>
        <v>22.83</v>
      </c>
      <c r="O98" t="str">
        <f>[1]!'1514.TW-Time'</f>
        <v>10:14:15</v>
      </c>
    </row>
    <row r="99" spans="1:15" x14ac:dyDescent="0.25">
      <c r="A99" t="str">
        <f>[1]!'1515.TW-ID'</f>
        <v>1515</v>
      </c>
      <c r="B99" t="str">
        <f>[1]!'1515.TW-Name'</f>
        <v>力山</v>
      </c>
      <c r="C99">
        <f>[1]!'1515.TW-Price'</f>
        <v>65.400000000000006</v>
      </c>
      <c r="D99">
        <f>[1]!'1515.TW-AvgPrice'</f>
        <v>65.569999999999993</v>
      </c>
      <c r="E99">
        <f>[1]!'1515.TW-PriceChangeRatio'</f>
        <v>-1.06</v>
      </c>
      <c r="F99" t="str">
        <f>[1]!'1515.TW-InOutRatioNumber'</f>
        <v>63.79%</v>
      </c>
      <c r="G99">
        <f>[1]!'1515.TW-PreTotalVolumeRate'</f>
        <v>0.37</v>
      </c>
      <c r="H99">
        <f>[1]!'1515.TW-VolumeRatio'</f>
        <v>0.93</v>
      </c>
      <c r="I99">
        <f>[1]!'1515.TW-5DayAvgVol'</f>
        <v>366</v>
      </c>
      <c r="J99">
        <f>[1]!'1515.TW-DXLOrderOutValueRatio'</f>
        <v>31.46</v>
      </c>
      <c r="K99">
        <f>[1]!'1515.TW-DXLOrderValueDiffRatio'</f>
        <v>31.46</v>
      </c>
      <c r="L99">
        <f>[1]!'1515.TW-DLOrderValueDiffRatio'</f>
        <v>0</v>
      </c>
      <c r="M99" t="str">
        <f>[1]!'1515.TW-ExchangeIndustry'</f>
        <v>上市電機機械</v>
      </c>
      <c r="N99" t="str">
        <f>[1]!'1515.TW-Capital'</f>
        <v>18.15</v>
      </c>
      <c r="O99" t="str">
        <f>[1]!'1515.TW-Time'</f>
        <v>10:12:51</v>
      </c>
    </row>
    <row r="100" spans="1:15" x14ac:dyDescent="0.25">
      <c r="A100" t="str">
        <f>[1]!'1517.TW-ID'</f>
        <v>1517</v>
      </c>
      <c r="B100" t="str">
        <f>[1]!'1517.TW-Name'</f>
        <v>利奇</v>
      </c>
      <c r="C100">
        <f>[1]!'1517.TW-Price'</f>
        <v>24.2</v>
      </c>
      <c r="D100">
        <f>[1]!'1517.TW-AvgPrice'</f>
        <v>24.25</v>
      </c>
      <c r="E100">
        <f>[1]!'1517.TW-PriceChangeRatio'</f>
        <v>-0.62</v>
      </c>
      <c r="F100" t="str">
        <f>[1]!'1517.TW-InOutRatioNumber'</f>
        <v>41.58%</v>
      </c>
      <c r="G100">
        <f>[1]!'1517.TW-PreTotalVolumeRate'</f>
        <v>0.28999999999999998</v>
      </c>
      <c r="H100">
        <f>[1]!'1517.TW-VolumeRatio'</f>
        <v>0.71</v>
      </c>
      <c r="I100">
        <f>[1]!'1517.TW-5DayAvgVol'</f>
        <v>1318</v>
      </c>
      <c r="J100">
        <f>[1]!'1517.TW-DXLOrderOutValueRatio'</f>
        <v>0</v>
      </c>
      <c r="K100">
        <f>[1]!'1517.TW-DXLOrderValueDiffRatio'</f>
        <v>0</v>
      </c>
      <c r="L100">
        <f>[1]!'1517.TW-DLOrderValueDiffRatio'</f>
        <v>0</v>
      </c>
      <c r="M100" t="str">
        <f>[1]!'1517.TW-ExchangeIndustry'</f>
        <v>上市電機機械</v>
      </c>
      <c r="N100" t="str">
        <f>[1]!'1517.TW-Capital'</f>
        <v>22.78</v>
      </c>
      <c r="O100" t="str">
        <f>[1]!'1517.TW-Time'</f>
        <v>10:12:47</v>
      </c>
    </row>
    <row r="101" spans="1:15" x14ac:dyDescent="0.25">
      <c r="A101" t="str">
        <f>[1]!'1519.TW-ID'</f>
        <v>1519</v>
      </c>
      <c r="B101" t="str">
        <f>[1]!'1519.TW-Name'</f>
        <v>華城</v>
      </c>
      <c r="C101">
        <f>[1]!'1519.TW-Price'</f>
        <v>35.6</v>
      </c>
      <c r="D101">
        <f>[1]!'1519.TW-AvgPrice'</f>
        <v>35.64</v>
      </c>
      <c r="E101">
        <f>[1]!'1519.TW-PriceChangeRatio'</f>
        <v>0</v>
      </c>
      <c r="F101" t="str">
        <f>[1]!'1519.TW-InOutRatioNumber'</f>
        <v>36.76%</v>
      </c>
      <c r="G101">
        <f>[1]!'1519.TW-PreTotalVolumeRate'</f>
        <v>0.19</v>
      </c>
      <c r="H101">
        <f>[1]!'1519.TW-VolumeRatio'</f>
        <v>0.35</v>
      </c>
      <c r="I101">
        <f>[1]!'1519.TW-5DayAvgVol'</f>
        <v>552</v>
      </c>
      <c r="J101">
        <f>[1]!'1519.TW-DXLOrderOutValueRatio'</f>
        <v>0</v>
      </c>
      <c r="K101">
        <f>[1]!'1519.TW-DXLOrderValueDiffRatio'</f>
        <v>0</v>
      </c>
      <c r="L101">
        <f>[1]!'1519.TW-DLOrderValueDiffRatio'</f>
        <v>0</v>
      </c>
      <c r="M101" t="str">
        <f>[1]!'1519.TW-ExchangeIndustry'</f>
        <v>上市電機機械</v>
      </c>
      <c r="N101" t="str">
        <f>[1]!'1519.TW-Capital'</f>
        <v>26.11</v>
      </c>
      <c r="O101" t="str">
        <f>[1]!'1519.TW-Time'</f>
        <v>10:14:26</v>
      </c>
    </row>
    <row r="102" spans="1:15" x14ac:dyDescent="0.25">
      <c r="A102" t="str">
        <f>[1]!'1526.TW-ID'</f>
        <v>1526</v>
      </c>
      <c r="B102" t="str">
        <f>[1]!'1526.TW-Name'</f>
        <v>日馳</v>
      </c>
      <c r="C102">
        <f>[1]!'1526.TW-Price'</f>
        <v>44.4</v>
      </c>
      <c r="D102">
        <f>[1]!'1526.TW-AvgPrice'</f>
        <v>44.44</v>
      </c>
      <c r="E102">
        <f>[1]!'1526.TW-PriceChangeRatio'</f>
        <v>0.11</v>
      </c>
      <c r="F102" t="str">
        <f>[1]!'1526.TW-InOutRatioNumber'</f>
        <v>14.89%</v>
      </c>
      <c r="G102">
        <f>[1]!'1526.TW-PreTotalVolumeRate'</f>
        <v>0.28000000000000003</v>
      </c>
      <c r="H102">
        <f>[1]!'1526.TW-VolumeRatio'</f>
        <v>0.7</v>
      </c>
      <c r="I102">
        <f>[1]!'1526.TW-5DayAvgVol'</f>
        <v>272</v>
      </c>
      <c r="J102">
        <f>[1]!'1526.TW-DXLOrderOutValueRatio'</f>
        <v>0</v>
      </c>
      <c r="K102">
        <f>[1]!'1526.TW-DXLOrderValueDiffRatio'</f>
        <v>0</v>
      </c>
      <c r="L102">
        <f>[1]!'1526.TW-DLOrderValueDiffRatio'</f>
        <v>0</v>
      </c>
      <c r="M102" t="str">
        <f>[1]!'1526.TW-ExchangeIndustry'</f>
        <v>上市電機機械</v>
      </c>
      <c r="N102" t="str">
        <f>[1]!'1526.TW-Capital'</f>
        <v>6.00</v>
      </c>
      <c r="O102" t="str">
        <f>[1]!'1526.TW-Time'</f>
        <v>10:09:02</v>
      </c>
    </row>
    <row r="103" spans="1:15" x14ac:dyDescent="0.25">
      <c r="A103" t="str">
        <f>[1]!'1527.TW-ID'</f>
        <v>1527</v>
      </c>
      <c r="B103" t="str">
        <f>[1]!'1527.TW-Name'</f>
        <v>鑽全</v>
      </c>
      <c r="C103">
        <f>[1]!'1527.TW-Price'</f>
        <v>42.5</v>
      </c>
      <c r="D103">
        <f>[1]!'1527.TW-AvgPrice'</f>
        <v>42.67</v>
      </c>
      <c r="E103">
        <f>[1]!'1527.TW-PriceChangeRatio'</f>
        <v>0.24</v>
      </c>
      <c r="F103" t="str">
        <f>[1]!'1527.TW-InOutRatioNumber'</f>
        <v>72.97%</v>
      </c>
      <c r="G103">
        <f>[1]!'1527.TW-PreTotalVolumeRate'</f>
        <v>0.14000000000000001</v>
      </c>
      <c r="H103">
        <f>[1]!'1527.TW-VolumeRatio'</f>
        <v>0.4</v>
      </c>
      <c r="I103">
        <f>[1]!'1527.TW-5DayAvgVol'</f>
        <v>307</v>
      </c>
      <c r="J103">
        <f>[1]!'1527.TW-DXLOrderOutValueRatio'</f>
        <v>0</v>
      </c>
      <c r="K103">
        <f>[1]!'1527.TW-DXLOrderValueDiffRatio'</f>
        <v>0</v>
      </c>
      <c r="L103">
        <f>[1]!'1527.TW-DLOrderValueDiffRatio'</f>
        <v>39.78</v>
      </c>
      <c r="M103" t="str">
        <f>[1]!'1527.TW-ExchangeIndustry'</f>
        <v>上市電機機械</v>
      </c>
      <c r="N103" t="str">
        <f>[1]!'1527.TW-Capital'</f>
        <v>13.86</v>
      </c>
      <c r="O103" t="str">
        <f>[1]!'1527.TW-Time'</f>
        <v>10:12:30</v>
      </c>
    </row>
    <row r="104" spans="1:15" x14ac:dyDescent="0.25">
      <c r="A104" t="str">
        <f>[1]!'1528.TW-ID'</f>
        <v>1528</v>
      </c>
      <c r="B104" t="str">
        <f>[1]!'1528.TW-Name'</f>
        <v>恩德</v>
      </c>
      <c r="C104">
        <f>[1]!'1528.TW-Price'</f>
        <v>10.8</v>
      </c>
      <c r="D104">
        <f>[1]!'1528.TW-AvgPrice'</f>
        <v>10.77</v>
      </c>
      <c r="E104">
        <f>[1]!'1528.TW-PriceChangeRatio'</f>
        <v>1.41</v>
      </c>
      <c r="F104" t="str">
        <f>[1]!'1528.TW-InOutRatioNumber'</f>
        <v>88.04%</v>
      </c>
      <c r="G104">
        <f>[1]!'1528.TW-PreTotalVolumeRate'</f>
        <v>1</v>
      </c>
      <c r="H104">
        <f>[1]!'1528.TW-VolumeRatio'</f>
        <v>2.57</v>
      </c>
      <c r="I104">
        <f>[1]!'1528.TW-5DayAvgVol'</f>
        <v>319</v>
      </c>
      <c r="J104">
        <f>[1]!'1528.TW-DXLOrderOutValueRatio'</f>
        <v>0</v>
      </c>
      <c r="K104">
        <f>[1]!'1528.TW-DXLOrderValueDiffRatio'</f>
        <v>0</v>
      </c>
      <c r="L104">
        <f>[1]!'1528.TW-DLOrderValueDiffRatio'</f>
        <v>34.86</v>
      </c>
      <c r="M104" t="str">
        <f>[1]!'1528.TW-ExchangeIndustry'</f>
        <v>上市電機機械</v>
      </c>
      <c r="N104" t="str">
        <f>[1]!'1528.TW-Capital'</f>
        <v>19.93</v>
      </c>
      <c r="O104" t="str">
        <f>[1]!'1528.TW-Time'</f>
        <v>10:14:51</v>
      </c>
    </row>
    <row r="105" spans="1:15" x14ac:dyDescent="0.25">
      <c r="A105" t="str">
        <f>[1]!'1529.TW-ID'</f>
        <v>1529</v>
      </c>
      <c r="B105" t="str">
        <f>[1]!'1529.TW-Name'</f>
        <v>樂士</v>
      </c>
      <c r="C105">
        <f>[1]!'1529.TW-Price'</f>
        <v>16.2</v>
      </c>
      <c r="D105">
        <f>[1]!'1529.TW-AvgPrice'</f>
        <v>16.25</v>
      </c>
      <c r="E105">
        <f>[1]!'1529.TW-PriceChangeRatio'</f>
        <v>-0.31</v>
      </c>
      <c r="F105" t="str">
        <f>[1]!'1529.TW-InOutRatioNumber'</f>
        <v>63.64%</v>
      </c>
      <c r="G105">
        <f>[1]!'1529.TW-PreTotalVolumeRate'</f>
        <v>0.21</v>
      </c>
      <c r="H105">
        <f>[1]!'1529.TW-VolumeRatio'</f>
        <v>0.6</v>
      </c>
      <c r="I105">
        <f>[1]!'1529.TW-5DayAvgVol'</f>
        <v>635</v>
      </c>
      <c r="J105">
        <f>[1]!'1529.TW-DXLOrderOutValueRatio'</f>
        <v>0</v>
      </c>
      <c r="K105">
        <f>[1]!'1529.TW-DXLOrderValueDiffRatio'</f>
        <v>0</v>
      </c>
      <c r="L105">
        <f>[1]!'1529.TW-DLOrderValueDiffRatio'</f>
        <v>0</v>
      </c>
      <c r="M105" t="str">
        <f>[1]!'1529.TW-ExchangeIndustry'</f>
        <v>上市電機機械</v>
      </c>
      <c r="N105" t="str">
        <f>[1]!'1529.TW-Capital'</f>
        <v>13.60</v>
      </c>
      <c r="O105" t="str">
        <f>[1]!'1529.TW-Time'</f>
        <v>10:10:04</v>
      </c>
    </row>
    <row r="106" spans="1:15" x14ac:dyDescent="0.25">
      <c r="A106" t="str">
        <f>[1]!'1530.TW-ID'</f>
        <v>1530</v>
      </c>
      <c r="B106" t="str">
        <f>[1]!'1530.TW-Name'</f>
        <v>亞崴</v>
      </c>
      <c r="C106">
        <f>[1]!'1530.TW-Price'</f>
        <v>33.4</v>
      </c>
      <c r="D106">
        <f>[1]!'1530.TW-AvgPrice'</f>
        <v>33.5</v>
      </c>
      <c r="E106">
        <f>[1]!'1530.TW-PriceChangeRatio'</f>
        <v>-0.45</v>
      </c>
      <c r="F106" t="str">
        <f>[1]!'1530.TW-InOutRatioNumber'</f>
        <v>0.00%</v>
      </c>
      <c r="G106">
        <f>[1]!'1530.TW-PreTotalVolumeRate'</f>
        <v>0.08</v>
      </c>
      <c r="H106">
        <f>[1]!'1530.TW-VolumeRatio'</f>
        <v>0</v>
      </c>
      <c r="I106">
        <f>[1]!'1530.TW-5DayAvgVol'</f>
        <v>34</v>
      </c>
      <c r="J106">
        <f>[1]!'1530.TW-DXLOrderOutValueRatio'</f>
        <v>0</v>
      </c>
      <c r="K106">
        <f>[1]!'1530.TW-DXLOrderValueDiffRatio'</f>
        <v>0</v>
      </c>
      <c r="L106">
        <f>[1]!'1530.TW-DLOrderValueDiffRatio'</f>
        <v>0</v>
      </c>
      <c r="M106" t="str">
        <f>[1]!'1530.TW-ExchangeIndustry'</f>
        <v>上市電機機械</v>
      </c>
      <c r="N106" t="str">
        <f>[1]!'1530.TW-Capital'</f>
        <v>9.66</v>
      </c>
      <c r="O106" t="str">
        <f>[1]!'1530.TW-Time'</f>
        <v>10:10:18</v>
      </c>
    </row>
    <row r="107" spans="1:15" x14ac:dyDescent="0.25">
      <c r="A107" t="str">
        <f>[1]!'1531.TW-ID'</f>
        <v>1531</v>
      </c>
      <c r="B107" t="str">
        <f>[1]!'1531.TW-Name'</f>
        <v>高林股</v>
      </c>
      <c r="C107">
        <f>[1]!'1531.TW-Price'</f>
        <v>14.55</v>
      </c>
      <c r="D107">
        <f>[1]!'1531.TW-AvgPrice'</f>
        <v>14.49</v>
      </c>
      <c r="E107">
        <f>[1]!'1531.TW-PriceChangeRatio'</f>
        <v>-0.34</v>
      </c>
      <c r="F107" t="str">
        <f>[1]!'1531.TW-InOutRatioNumber'</f>
        <v>20.69%</v>
      </c>
      <c r="G107">
        <f>[1]!'1531.TW-PreTotalVolumeRate'</f>
        <v>0.1</v>
      </c>
      <c r="H107">
        <f>[1]!'1531.TW-VolumeRatio'</f>
        <v>0.39</v>
      </c>
      <c r="I107">
        <f>[1]!'1531.TW-5DayAvgVol'</f>
        <v>206</v>
      </c>
      <c r="J107">
        <f>[1]!'1531.TW-DXLOrderOutValueRatio'</f>
        <v>0</v>
      </c>
      <c r="K107">
        <f>[1]!'1531.TW-DXLOrderValueDiffRatio'</f>
        <v>0</v>
      </c>
      <c r="L107">
        <f>[1]!'1531.TW-DLOrderValueDiffRatio'</f>
        <v>0</v>
      </c>
      <c r="M107" t="str">
        <f>[1]!'1531.TW-ExchangeIndustry'</f>
        <v>上市電機機械</v>
      </c>
      <c r="N107" t="str">
        <f>[1]!'1531.TW-Capital'</f>
        <v>18.36</v>
      </c>
      <c r="O107" t="str">
        <f>[1]!'1531.TW-Time'</f>
        <v>10:10:50</v>
      </c>
    </row>
    <row r="108" spans="1:15" x14ac:dyDescent="0.25">
      <c r="A108" t="str">
        <f>[1]!'1532.TW-ID'</f>
        <v>1532</v>
      </c>
      <c r="B108" t="str">
        <f>[1]!'1532.TW-Name'</f>
        <v>勤美</v>
      </c>
      <c r="C108">
        <f>[1]!'1532.TW-Price'</f>
        <v>31.75</v>
      </c>
      <c r="D108">
        <f>[1]!'1532.TW-AvgPrice'</f>
        <v>31.93</v>
      </c>
      <c r="E108">
        <f>[1]!'1532.TW-PriceChangeRatio'</f>
        <v>-0.31</v>
      </c>
      <c r="F108" t="str">
        <f>[1]!'1532.TW-InOutRatioNumber'</f>
        <v>36.84%</v>
      </c>
      <c r="G108">
        <f>[1]!'1532.TW-PreTotalVolumeRate'</f>
        <v>0.2</v>
      </c>
      <c r="H108">
        <f>[1]!'1532.TW-VolumeRatio'</f>
        <v>0.56000000000000005</v>
      </c>
      <c r="I108">
        <f>[1]!'1532.TW-5DayAvgVol'</f>
        <v>541</v>
      </c>
      <c r="J108">
        <f>[1]!'1532.TW-DXLOrderOutValueRatio'</f>
        <v>0</v>
      </c>
      <c r="K108">
        <f>[1]!'1532.TW-DXLOrderValueDiffRatio'</f>
        <v>0</v>
      </c>
      <c r="L108">
        <f>[1]!'1532.TW-DLOrderValueDiffRatio'</f>
        <v>0</v>
      </c>
      <c r="M108" t="str">
        <f>[1]!'1532.TW-ExchangeIndustry'</f>
        <v>上市電機機械</v>
      </c>
      <c r="N108" t="str">
        <f>[1]!'1532.TW-Capital'</f>
        <v>37.61</v>
      </c>
      <c r="O108" t="str">
        <f>[1]!'1532.TW-Time'</f>
        <v>10:14:13</v>
      </c>
    </row>
    <row r="109" spans="1:15" x14ac:dyDescent="0.25">
      <c r="A109" t="str">
        <f>[1]!'1535.TW-ID'</f>
        <v>1535</v>
      </c>
      <c r="B109" t="str">
        <f>[1]!'1535.TW-Name'</f>
        <v>中宇</v>
      </c>
      <c r="C109">
        <f>[1]!'1535.TW-Price'</f>
        <v>39</v>
      </c>
      <c r="D109">
        <f>[1]!'1535.TW-AvgPrice'</f>
        <v>39.07</v>
      </c>
      <c r="E109">
        <f>[1]!'1535.TW-PriceChangeRatio'</f>
        <v>-0.38</v>
      </c>
      <c r="F109" t="str">
        <f>[1]!'1535.TW-InOutRatioNumber'</f>
        <v>0.00%</v>
      </c>
      <c r="G109">
        <f>[1]!'1535.TW-PreTotalVolumeRate'</f>
        <v>0.38</v>
      </c>
      <c r="H109">
        <f>[1]!'1535.TW-VolumeRatio'</f>
        <v>2.65</v>
      </c>
      <c r="I109">
        <f>[1]!'1535.TW-5DayAvgVol'</f>
        <v>37</v>
      </c>
      <c r="J109">
        <f>[1]!'1535.TW-DXLOrderOutValueRatio'</f>
        <v>0</v>
      </c>
      <c r="K109">
        <f>[1]!'1535.TW-DXLOrderValueDiffRatio'</f>
        <v>0</v>
      </c>
      <c r="L109">
        <f>[1]!'1535.TW-DLOrderValueDiffRatio'</f>
        <v>0</v>
      </c>
      <c r="M109" t="str">
        <f>[1]!'1535.TW-ExchangeIndustry'</f>
        <v>上市電機機械</v>
      </c>
      <c r="N109" t="str">
        <f>[1]!'1535.TW-Capital'</f>
        <v>12.37</v>
      </c>
      <c r="O109" t="str">
        <f>[1]!'1535.TW-Time'</f>
        <v>09:50:34</v>
      </c>
    </row>
    <row r="110" spans="1:15" x14ac:dyDescent="0.25">
      <c r="A110" t="str">
        <f>[1]!'1537.TW-ID'</f>
        <v>1537</v>
      </c>
      <c r="B110" t="str">
        <f>[1]!'1537.TW-Name'</f>
        <v>廣隆</v>
      </c>
      <c r="C110">
        <f>[1]!'1537.TW-Price'</f>
        <v>138.5</v>
      </c>
      <c r="D110">
        <f>[1]!'1537.TW-AvgPrice'</f>
        <v>138.22999999999999</v>
      </c>
      <c r="E110">
        <f>[1]!'1537.TW-PriceChangeRatio'</f>
        <v>0.36</v>
      </c>
      <c r="F110" t="str">
        <f>[1]!'1537.TW-InOutRatioNumber'</f>
        <v>45.45%</v>
      </c>
      <c r="G110">
        <f>[1]!'1537.TW-PreTotalVolumeRate'</f>
        <v>0.28000000000000003</v>
      </c>
      <c r="H110">
        <f>[1]!'1537.TW-VolumeRatio'</f>
        <v>1.88</v>
      </c>
      <c r="I110">
        <f>[1]!'1537.TW-5DayAvgVol'</f>
        <v>82</v>
      </c>
      <c r="J110">
        <f>[1]!'1537.TW-DXLOrderOutValueRatio'</f>
        <v>0</v>
      </c>
      <c r="K110">
        <f>[1]!'1537.TW-DXLOrderValueDiffRatio'</f>
        <v>0</v>
      </c>
      <c r="L110">
        <f>[1]!'1537.TW-DLOrderValueDiffRatio'</f>
        <v>0</v>
      </c>
      <c r="M110" t="str">
        <f>[1]!'1537.TW-ExchangeIndustry'</f>
        <v>上市電機機械</v>
      </c>
      <c r="N110" t="str">
        <f>[1]!'1537.TW-Capital'</f>
        <v>8.24</v>
      </c>
      <c r="O110" t="str">
        <f>[1]!'1537.TW-Time'</f>
        <v>10:05:58</v>
      </c>
    </row>
    <row r="111" spans="1:15" x14ac:dyDescent="0.25">
      <c r="A111" t="str">
        <f>[1]!'1538.TW-ID'</f>
        <v>1538</v>
      </c>
      <c r="B111" t="str">
        <f>[1]!'1538.TW-Name'</f>
        <v>正峰</v>
      </c>
      <c r="C111">
        <f>[1]!'1538.TW-Price'</f>
        <v>10.5</v>
      </c>
      <c r="D111">
        <f>[1]!'1538.TW-AvgPrice'</f>
        <v>10.43</v>
      </c>
      <c r="E111">
        <f>[1]!'1538.TW-PriceChangeRatio'</f>
        <v>0.96</v>
      </c>
      <c r="F111" t="str">
        <f>[1]!'1538.TW-InOutRatioNumber'</f>
        <v>100.00%</v>
      </c>
      <c r="G111">
        <f>[1]!'1538.TW-PreTotalVolumeRate'</f>
        <v>0.48</v>
      </c>
      <c r="H111">
        <f>[1]!'1538.TW-VolumeRatio'</f>
        <v>0</v>
      </c>
      <c r="I111">
        <f>[1]!'1538.TW-5DayAvgVol'</f>
        <v>15</v>
      </c>
      <c r="J111">
        <f>[1]!'1538.TW-DXLOrderOutValueRatio'</f>
        <v>0</v>
      </c>
      <c r="K111">
        <f>[1]!'1538.TW-DXLOrderValueDiffRatio'</f>
        <v>0</v>
      </c>
      <c r="L111">
        <f>[1]!'1538.TW-DLOrderValueDiffRatio'</f>
        <v>0</v>
      </c>
      <c r="M111" t="str">
        <f>[1]!'1538.TW-ExchangeIndustry'</f>
        <v>上市電機機械</v>
      </c>
      <c r="N111" t="str">
        <f>[1]!'1538.TW-Capital'</f>
        <v>2.64</v>
      </c>
      <c r="O111" t="str">
        <f>[1]!'1538.TW-Time'</f>
        <v>09:50:53</v>
      </c>
    </row>
    <row r="112" spans="1:15" x14ac:dyDescent="0.25">
      <c r="A112" t="str">
        <f>[1]!'1539.TW-ID'</f>
        <v>1539</v>
      </c>
      <c r="B112" t="str">
        <f>[1]!'1539.TW-Name'</f>
        <v>巨庭</v>
      </c>
      <c r="C112">
        <f>[1]!'1539.TW-Price'</f>
        <v>17.75</v>
      </c>
      <c r="D112">
        <f>[1]!'1539.TW-AvgPrice'</f>
        <v>17.77</v>
      </c>
      <c r="E112">
        <f>[1]!'1539.TW-PriceChangeRatio'</f>
        <v>0</v>
      </c>
      <c r="F112" t="str">
        <f>[1]!'1539.TW-InOutRatioNumber'</f>
        <v>10.00%</v>
      </c>
      <c r="G112">
        <f>[1]!'1539.TW-PreTotalVolumeRate'</f>
        <v>0.4</v>
      </c>
      <c r="H112">
        <f>[1]!'1539.TW-VolumeRatio'</f>
        <v>1.2</v>
      </c>
      <c r="I112">
        <f>[1]!'1539.TW-5DayAvgVol'</f>
        <v>77</v>
      </c>
      <c r="J112">
        <f>[1]!'1539.TW-DXLOrderOutValueRatio'</f>
        <v>0</v>
      </c>
      <c r="K112">
        <f>[1]!'1539.TW-DXLOrderValueDiffRatio'</f>
        <v>0</v>
      </c>
      <c r="L112">
        <f>[1]!'1539.TW-DLOrderValueDiffRatio'</f>
        <v>0</v>
      </c>
      <c r="M112" t="str">
        <f>[1]!'1539.TW-ExchangeIndustry'</f>
        <v>上市電機機械</v>
      </c>
      <c r="N112" t="str">
        <f>[1]!'1539.TW-Capital'</f>
        <v>6.54</v>
      </c>
      <c r="O112" t="str">
        <f>[1]!'1539.TW-Time'</f>
        <v>09:55:32</v>
      </c>
    </row>
    <row r="113" spans="1:15" x14ac:dyDescent="0.25">
      <c r="A113" t="str">
        <f>[1]!'1540.TW-ID'</f>
        <v>1540</v>
      </c>
      <c r="B113" t="str">
        <f>[1]!'1540.TW-Name'</f>
        <v>喬福</v>
      </c>
      <c r="C113">
        <f>[1]!'1540.TW-Price'</f>
        <v>14.6</v>
      </c>
      <c r="D113">
        <f>[1]!'1540.TW-AvgPrice'</f>
        <v>14.53</v>
      </c>
      <c r="E113">
        <f>[1]!'1540.TW-PriceChangeRatio'</f>
        <v>0</v>
      </c>
      <c r="F113" t="str">
        <f>[1]!'1540.TW-InOutRatioNumber'</f>
        <v>34.78%</v>
      </c>
      <c r="G113">
        <f>[1]!'1540.TW-PreTotalVolumeRate'</f>
        <v>0.22</v>
      </c>
      <c r="H113">
        <f>[1]!'1540.TW-VolumeRatio'</f>
        <v>1.07</v>
      </c>
      <c r="I113">
        <f>[1]!'1540.TW-5DayAvgVol'</f>
        <v>170</v>
      </c>
      <c r="J113">
        <f>[1]!'1540.TW-DXLOrderOutValueRatio'</f>
        <v>0</v>
      </c>
      <c r="K113">
        <f>[1]!'1540.TW-DXLOrderValueDiffRatio'</f>
        <v>0</v>
      </c>
      <c r="L113">
        <f>[1]!'1540.TW-DLOrderValueDiffRatio'</f>
        <v>0</v>
      </c>
      <c r="M113" t="str">
        <f>[1]!'1540.TW-ExchangeIndustry'</f>
        <v>上市電機機械</v>
      </c>
      <c r="N113" t="str">
        <f>[1]!'1540.TW-Capital'</f>
        <v>8.55</v>
      </c>
      <c r="O113" t="str">
        <f>[1]!'1540.TW-Time'</f>
        <v>10:09:29</v>
      </c>
    </row>
    <row r="114" spans="1:15" x14ac:dyDescent="0.25">
      <c r="A114" t="str">
        <f>[1]!'1541.TW-ID'</f>
        <v>1541</v>
      </c>
      <c r="B114" t="str">
        <f>[1]!'1541.TW-Name'</f>
        <v>錩泰</v>
      </c>
      <c r="C114">
        <f>[1]!'1541.TW-Price'</f>
        <v>43.5</v>
      </c>
      <c r="D114">
        <f>[1]!'1541.TW-AvgPrice'</f>
        <v>43.4</v>
      </c>
      <c r="E114">
        <f>[1]!'1541.TW-PriceChangeRatio'</f>
        <v>0.69</v>
      </c>
      <c r="F114" t="str">
        <f>[1]!'1541.TW-InOutRatioNumber'</f>
        <v>0.00%</v>
      </c>
      <c r="G114">
        <f>[1]!'1541.TW-PreTotalVolumeRate'</f>
        <v>0.27</v>
      </c>
      <c r="H114">
        <f>[1]!'1541.TW-VolumeRatio'</f>
        <v>1.64</v>
      </c>
      <c r="I114">
        <f>[1]!'1541.TW-5DayAvgVol'</f>
        <v>38</v>
      </c>
      <c r="J114">
        <f>[1]!'1541.TW-DXLOrderOutValueRatio'</f>
        <v>0</v>
      </c>
      <c r="K114">
        <f>[1]!'1541.TW-DXLOrderValueDiffRatio'</f>
        <v>0</v>
      </c>
      <c r="L114">
        <f>[1]!'1541.TW-DLOrderValueDiffRatio'</f>
        <v>0</v>
      </c>
      <c r="M114" t="str">
        <f>[1]!'1541.TW-ExchangeIndustry'</f>
        <v>上市電機機械</v>
      </c>
      <c r="N114" t="str">
        <f>[1]!'1541.TW-Capital'</f>
        <v>7.88</v>
      </c>
      <c r="O114" t="str">
        <f>[1]!'1541.TW-Time'</f>
        <v>10:06:21</v>
      </c>
    </row>
    <row r="115" spans="1:15" x14ac:dyDescent="0.25">
      <c r="A115" t="str">
        <f>[1]!'1558.TW-ID'</f>
        <v>1558</v>
      </c>
      <c r="B115" t="str">
        <f>[1]!'1558.TW-Name'</f>
        <v>伸興</v>
      </c>
      <c r="C115">
        <f>[1]!'1558.TW-Price'</f>
        <v>146.5</v>
      </c>
      <c r="D115">
        <f>[1]!'1558.TW-AvgPrice'</f>
        <v>146.55000000000001</v>
      </c>
      <c r="E115">
        <f>[1]!'1558.TW-PriceChangeRatio'</f>
        <v>0</v>
      </c>
      <c r="F115" t="str">
        <f>[1]!'1558.TW-InOutRatioNumber'</f>
        <v>11.11%</v>
      </c>
      <c r="G115">
        <f>[1]!'1558.TW-PreTotalVolumeRate'</f>
        <v>0.22</v>
      </c>
      <c r="H115">
        <f>[1]!'1558.TW-VolumeRatio'</f>
        <v>0.73</v>
      </c>
      <c r="I115">
        <f>[1]!'1558.TW-5DayAvgVol'</f>
        <v>91</v>
      </c>
      <c r="J115">
        <f>[1]!'1558.TW-DXLOrderOutValueRatio'</f>
        <v>0</v>
      </c>
      <c r="K115">
        <f>[1]!'1558.TW-DXLOrderValueDiffRatio'</f>
        <v>0</v>
      </c>
      <c r="L115">
        <f>[1]!'1558.TW-DLOrderValueDiffRatio'</f>
        <v>0</v>
      </c>
      <c r="M115" t="str">
        <f>[1]!'1558.TW-ExchangeIndustry'</f>
        <v>上市電機機械</v>
      </c>
      <c r="N115" t="str">
        <f>[1]!'1558.TW-Capital'</f>
        <v>6.05</v>
      </c>
      <c r="O115" t="str">
        <f>[1]!'1558.TW-Time'</f>
        <v>10:08:27</v>
      </c>
    </row>
    <row r="116" spans="1:15" x14ac:dyDescent="0.25">
      <c r="A116" t="str">
        <f>[1]!'1560.TW-ID'</f>
        <v>1560</v>
      </c>
      <c r="B116" t="str">
        <f>[1]!'1560.TW-Name'</f>
        <v>中砂</v>
      </c>
      <c r="C116">
        <f>[1]!'1560.TW-Price'</f>
        <v>70.2</v>
      </c>
      <c r="D116">
        <f>[1]!'1560.TW-AvgPrice'</f>
        <v>70.37</v>
      </c>
      <c r="E116">
        <f>[1]!'1560.TW-PriceChangeRatio'</f>
        <v>1.01</v>
      </c>
      <c r="F116" t="str">
        <f>[1]!'1560.TW-InOutRatioNumber'</f>
        <v>42.72%</v>
      </c>
      <c r="G116">
        <f>[1]!'1560.TW-PreTotalVolumeRate'</f>
        <v>0.4</v>
      </c>
      <c r="H116">
        <f>[1]!'1560.TW-VolumeRatio'</f>
        <v>0.94</v>
      </c>
      <c r="I116">
        <f>[1]!'1560.TW-5DayAvgVol'</f>
        <v>869</v>
      </c>
      <c r="J116">
        <f>[1]!'1560.TW-DXLOrderOutValueRatio'</f>
        <v>3.08</v>
      </c>
      <c r="K116">
        <f>[1]!'1560.TW-DXLOrderValueDiffRatio'</f>
        <v>-3.2</v>
      </c>
      <c r="L116">
        <f>[1]!'1560.TW-DLOrderValueDiffRatio'</f>
        <v>-3.79</v>
      </c>
      <c r="M116" t="str">
        <f>[1]!'1560.TW-ExchangeIndustry'</f>
        <v>上市電機機械</v>
      </c>
      <c r="N116" t="str">
        <f>[1]!'1560.TW-Capital'</f>
        <v>14.18</v>
      </c>
      <c r="O116" t="str">
        <f>[1]!'1560.TW-Time'</f>
        <v>10:13:55</v>
      </c>
    </row>
    <row r="117" spans="1:15" x14ac:dyDescent="0.25">
      <c r="A117" t="str">
        <f>[1]!'1583.TW-ID'</f>
        <v>1583</v>
      </c>
      <c r="B117" t="str">
        <f>[1]!'1583.TW-Name'</f>
        <v>程泰</v>
      </c>
      <c r="C117" t="str">
        <f>[1]!'1583.TW-Price'</f>
        <v>--</v>
      </c>
      <c r="D117" t="str">
        <f>[1]!'1583.TW-AvgPrice'</f>
        <v>--</v>
      </c>
      <c r="E117" t="str">
        <f>[1]!'1583.TW-PriceChangeRatio'</f>
        <v>--</v>
      </c>
      <c r="F117" t="str">
        <f>[1]!'1583.TW-InOutRatioNumber'</f>
        <v>--</v>
      </c>
      <c r="G117" t="str">
        <f>[1]!'1583.TW-PreTotalVolumeRate'</f>
        <v>--</v>
      </c>
      <c r="H117">
        <f>[1]!'1583.TW-VolumeRatio'</f>
        <v>0</v>
      </c>
      <c r="I117">
        <f>[1]!'1583.TW-5DayAvgVol'</f>
        <v>3</v>
      </c>
      <c r="J117">
        <f>[1]!'1583.TW-DXLOrderOutValueRatio'</f>
        <v>0</v>
      </c>
      <c r="K117">
        <f>[1]!'1583.TW-DXLOrderValueDiffRatio'</f>
        <v>0</v>
      </c>
      <c r="L117">
        <f>[1]!'1583.TW-DLOrderValueDiffRatio'</f>
        <v>0</v>
      </c>
      <c r="M117" t="str">
        <f>[1]!'1583.TW-ExchangeIndustry'</f>
        <v>上市電機機械</v>
      </c>
      <c r="N117" t="str">
        <f>[1]!'1583.TW-Capital'</f>
        <v>11.04</v>
      </c>
      <c r="O117" t="str">
        <f>[1]!'1583.TW-Time'</f>
        <v>--</v>
      </c>
    </row>
    <row r="118" spans="1:15" x14ac:dyDescent="0.25">
      <c r="A118" t="str">
        <f>[1]!'1589.TW-ID'</f>
        <v>1589</v>
      </c>
      <c r="B118" t="str">
        <f>[1]!'1589.TW-Name'</f>
        <v>永冠-KY</v>
      </c>
      <c r="C118">
        <f>[1]!'1589.TW-Price'</f>
        <v>65.8</v>
      </c>
      <c r="D118">
        <f>[1]!'1589.TW-AvgPrice'</f>
        <v>65.88</v>
      </c>
      <c r="E118">
        <f>[1]!'1589.TW-PriceChangeRatio'</f>
        <v>0.15</v>
      </c>
      <c r="F118" t="str">
        <f>[1]!'1589.TW-InOutRatioNumber'</f>
        <v>29.11%</v>
      </c>
      <c r="G118">
        <f>[1]!'1589.TW-PreTotalVolumeRate'</f>
        <v>0.3</v>
      </c>
      <c r="H118">
        <f>[1]!'1589.TW-VolumeRatio'</f>
        <v>0.52</v>
      </c>
      <c r="I118">
        <f>[1]!'1589.TW-5DayAvgVol'</f>
        <v>416</v>
      </c>
      <c r="J118">
        <f>[1]!'1589.TW-DXLOrderOutValueRatio'</f>
        <v>0</v>
      </c>
      <c r="K118">
        <f>[1]!'1589.TW-DXLOrderValueDiffRatio'</f>
        <v>0</v>
      </c>
      <c r="L118">
        <f>[1]!'1589.TW-DLOrderValueDiffRatio'</f>
        <v>0</v>
      </c>
      <c r="M118" t="str">
        <f>[1]!'1589.TW-ExchangeIndustry'</f>
        <v>上市電機機械</v>
      </c>
      <c r="N118" t="str">
        <f>[1]!'1589.TW-Capital'</f>
        <v>11.06</v>
      </c>
      <c r="O118" t="str">
        <f>[1]!'1589.TW-Time'</f>
        <v>10:15:13</v>
      </c>
    </row>
    <row r="119" spans="1:15" x14ac:dyDescent="0.25">
      <c r="A119" t="str">
        <f>[1]!'1590.TW-ID'</f>
        <v>1590</v>
      </c>
      <c r="B119" t="str">
        <f>[1]!'1590.TW-Name'</f>
        <v>亞德客-KY</v>
      </c>
      <c r="C119">
        <f>[1]!'1590.TW-Price'</f>
        <v>857</v>
      </c>
      <c r="D119">
        <f>[1]!'1590.TW-AvgPrice'</f>
        <v>857.3</v>
      </c>
      <c r="E119">
        <f>[1]!'1590.TW-PriceChangeRatio'</f>
        <v>1.42</v>
      </c>
      <c r="F119" t="str">
        <f>[1]!'1590.TW-InOutRatioNumber'</f>
        <v>44.19%</v>
      </c>
      <c r="G119">
        <f>[1]!'1590.TW-PreTotalVolumeRate'</f>
        <v>0.5</v>
      </c>
      <c r="H119">
        <f>[1]!'1590.TW-VolumeRatio'</f>
        <v>1.01</v>
      </c>
      <c r="I119">
        <f>[1]!'1590.TW-5DayAvgVol'</f>
        <v>1012</v>
      </c>
      <c r="J119">
        <f>[1]!'1590.TW-DXLOrderOutValueRatio'</f>
        <v>0</v>
      </c>
      <c r="K119">
        <f>[1]!'1590.TW-DXLOrderValueDiffRatio'</f>
        <v>-9.06</v>
      </c>
      <c r="L119">
        <f>[1]!'1590.TW-DLOrderValueDiffRatio'</f>
        <v>-5.5</v>
      </c>
      <c r="M119" t="str">
        <f>[1]!'1590.TW-ExchangeIndustry'</f>
        <v>上市電機機械</v>
      </c>
      <c r="N119" t="str">
        <f>[1]!'1590.TW-Capital'</f>
        <v>20.00</v>
      </c>
      <c r="O119" t="str">
        <f>[1]!'1590.TW-Time'</f>
        <v>10:14:39</v>
      </c>
    </row>
    <row r="120" spans="1:15" x14ac:dyDescent="0.25">
      <c r="A120" t="str">
        <f>[1]!'1597.TW-ID'</f>
        <v>1597</v>
      </c>
      <c r="B120" t="str">
        <f>[1]!'1597.TW-Name'</f>
        <v>直得</v>
      </c>
      <c r="C120">
        <f>[1]!'1597.TW-Price'</f>
        <v>85.2</v>
      </c>
      <c r="D120">
        <f>[1]!'1597.TW-AvgPrice'</f>
        <v>85.06</v>
      </c>
      <c r="E120">
        <f>[1]!'1597.TW-PriceChangeRatio'</f>
        <v>0.35</v>
      </c>
      <c r="F120" t="str">
        <f>[1]!'1597.TW-InOutRatioNumber'</f>
        <v>31.25%</v>
      </c>
      <c r="G120">
        <f>[1]!'1597.TW-PreTotalVolumeRate'</f>
        <v>0.17</v>
      </c>
      <c r="H120">
        <f>[1]!'1597.TW-VolumeRatio'</f>
        <v>0.45</v>
      </c>
      <c r="I120">
        <f>[1]!'1597.TW-5DayAvgVol'</f>
        <v>146</v>
      </c>
      <c r="J120">
        <f>[1]!'1597.TW-DXLOrderOutValueRatio'</f>
        <v>0</v>
      </c>
      <c r="K120">
        <f>[1]!'1597.TW-DXLOrderValueDiffRatio'</f>
        <v>0</v>
      </c>
      <c r="L120">
        <f>[1]!'1597.TW-DLOrderValueDiffRatio'</f>
        <v>0</v>
      </c>
      <c r="M120" t="str">
        <f>[1]!'1597.TW-ExchangeIndustry'</f>
        <v>上市電機機械</v>
      </c>
      <c r="N120" t="str">
        <f>[1]!'1597.TW-Capital'</f>
        <v>8.12</v>
      </c>
      <c r="O120" t="str">
        <f>[1]!'1597.TW-Time'</f>
        <v>10:09:56</v>
      </c>
    </row>
    <row r="121" spans="1:15" x14ac:dyDescent="0.25">
      <c r="A121" t="str">
        <f>[1]!'2049.TW-ID'</f>
        <v>2049</v>
      </c>
      <c r="B121" t="str">
        <f>[1]!'2049.TW-Name'</f>
        <v>上銀</v>
      </c>
      <c r="C121">
        <f>[1]!'2049.TW-Price'</f>
        <v>303</v>
      </c>
      <c r="D121">
        <f>[1]!'2049.TW-AvgPrice'</f>
        <v>303.37</v>
      </c>
      <c r="E121">
        <f>[1]!'2049.TW-PriceChangeRatio'</f>
        <v>1</v>
      </c>
      <c r="F121" t="str">
        <f>[1]!'2049.TW-InOutRatioNumber'</f>
        <v>49.58%</v>
      </c>
      <c r="G121">
        <f>[1]!'2049.TW-PreTotalVolumeRate'</f>
        <v>0.23</v>
      </c>
      <c r="H121">
        <f>[1]!'2049.TW-VolumeRatio'</f>
        <v>0.55000000000000004</v>
      </c>
      <c r="I121">
        <f>[1]!'2049.TW-5DayAvgVol'</f>
        <v>972</v>
      </c>
      <c r="J121">
        <f>[1]!'2049.TW-DXLOrderOutValueRatio'</f>
        <v>0</v>
      </c>
      <c r="K121">
        <f>[1]!'2049.TW-DXLOrderValueDiffRatio'</f>
        <v>0</v>
      </c>
      <c r="L121">
        <f>[1]!'2049.TW-DLOrderValueDiffRatio'</f>
        <v>-1.19</v>
      </c>
      <c r="M121" t="str">
        <f>[1]!'2049.TW-ExchangeIndustry'</f>
        <v>上市電機機械</v>
      </c>
      <c r="N121" t="str">
        <f>[1]!'2049.TW-Capital'</f>
        <v>34.08</v>
      </c>
      <c r="O121" t="str">
        <f>[1]!'2049.TW-Time'</f>
        <v>10:10:53</v>
      </c>
    </row>
    <row r="122" spans="1:15" x14ac:dyDescent="0.25">
      <c r="A122" t="str">
        <f>[1]!'2371.TW-ID'</f>
        <v>2371</v>
      </c>
      <c r="B122" t="str">
        <f>[1]!'2371.TW-Name'</f>
        <v>大同</v>
      </c>
      <c r="C122">
        <f>[1]!'2371.TW-Price'</f>
        <v>35.9</v>
      </c>
      <c r="D122">
        <f>[1]!'2371.TW-AvgPrice'</f>
        <v>35.72</v>
      </c>
      <c r="E122">
        <f>[1]!'2371.TW-PriceChangeRatio'</f>
        <v>0.28000000000000003</v>
      </c>
      <c r="F122" t="str">
        <f>[1]!'2371.TW-InOutRatioNumber'</f>
        <v>45.67%</v>
      </c>
      <c r="G122">
        <f>[1]!'2371.TW-PreTotalVolumeRate'</f>
        <v>0.43</v>
      </c>
      <c r="H122">
        <f>[1]!'2371.TW-VolumeRatio'</f>
        <v>1.04</v>
      </c>
      <c r="I122">
        <f>[1]!'2371.TW-5DayAvgVol'</f>
        <v>114168</v>
      </c>
      <c r="J122">
        <f>[1]!'2371.TW-DXLOrderOutValueRatio'</f>
        <v>18.3</v>
      </c>
      <c r="K122">
        <f>[1]!'2371.TW-DXLOrderValueDiffRatio'</f>
        <v>-11.48</v>
      </c>
      <c r="L122">
        <f>[1]!'2371.TW-DLOrderValueDiffRatio'</f>
        <v>-1.43</v>
      </c>
      <c r="M122" t="str">
        <f>[1]!'2371.TW-ExchangeIndustry'</f>
        <v>上市電機機械</v>
      </c>
      <c r="N122" t="str">
        <f>[1]!'2371.TW-Capital'</f>
        <v>233.95</v>
      </c>
      <c r="O122" t="str">
        <f>[1]!'2371.TW-Time'</f>
        <v>10:15:18</v>
      </c>
    </row>
    <row r="123" spans="1:15" x14ac:dyDescent="0.25">
      <c r="A123" t="str">
        <f>[1]!'3167.TW-ID'</f>
        <v>3167</v>
      </c>
      <c r="B123" t="str">
        <f>[1]!'3167.TW-Name'</f>
        <v>大量</v>
      </c>
      <c r="C123">
        <f>[1]!'3167.TW-Price'</f>
        <v>72.5</v>
      </c>
      <c r="D123">
        <f>[1]!'3167.TW-AvgPrice'</f>
        <v>72.66</v>
      </c>
      <c r="E123">
        <f>[1]!'3167.TW-PriceChangeRatio'</f>
        <v>-0.14000000000000001</v>
      </c>
      <c r="F123" t="str">
        <f>[1]!'3167.TW-InOutRatioNumber'</f>
        <v>16.44%</v>
      </c>
      <c r="G123">
        <f>[1]!'3167.TW-PreTotalVolumeRate'</f>
        <v>0.13</v>
      </c>
      <c r="H123">
        <f>[1]!'3167.TW-VolumeRatio'</f>
        <v>0.35</v>
      </c>
      <c r="I123">
        <f>[1]!'3167.TW-5DayAvgVol'</f>
        <v>265</v>
      </c>
      <c r="J123">
        <f>[1]!'3167.TW-DXLOrderOutValueRatio'</f>
        <v>0</v>
      </c>
      <c r="K123">
        <f>[1]!'3167.TW-DXLOrderValueDiffRatio'</f>
        <v>0</v>
      </c>
      <c r="L123">
        <f>[1]!'3167.TW-DLOrderValueDiffRatio'</f>
        <v>0</v>
      </c>
      <c r="M123" t="str">
        <f>[1]!'3167.TW-ExchangeIndustry'</f>
        <v>上市電機機械</v>
      </c>
      <c r="N123" t="str">
        <f>[1]!'3167.TW-Capital'</f>
        <v>8.01</v>
      </c>
      <c r="O123" t="str">
        <f>[1]!'3167.TW-Time'</f>
        <v>10:10:43</v>
      </c>
    </row>
    <row r="124" spans="1:15" x14ac:dyDescent="0.25">
      <c r="A124" t="str">
        <f>[1]!'4526.TW-ID'</f>
        <v>4526</v>
      </c>
      <c r="B124" t="str">
        <f>[1]!'4526.TW-Name'</f>
        <v>東台</v>
      </c>
      <c r="C124">
        <f>[1]!'4526.TW-Price'</f>
        <v>15.9</v>
      </c>
      <c r="D124">
        <f>[1]!'4526.TW-AvgPrice'</f>
        <v>15.87</v>
      </c>
      <c r="E124">
        <f>[1]!'4526.TW-PriceChangeRatio'</f>
        <v>0.63</v>
      </c>
      <c r="F124" t="str">
        <f>[1]!'4526.TW-InOutRatioNumber'</f>
        <v>82.28%</v>
      </c>
      <c r="G124">
        <f>[1]!'4526.TW-PreTotalVolumeRate'</f>
        <v>0.75</v>
      </c>
      <c r="H124">
        <f>[1]!'4526.TW-VolumeRatio'</f>
        <v>1.92</v>
      </c>
      <c r="I124">
        <f>[1]!'4526.TW-5DayAvgVol'</f>
        <v>215</v>
      </c>
      <c r="J124">
        <f>[1]!'4526.TW-DXLOrderOutValueRatio'</f>
        <v>0</v>
      </c>
      <c r="K124">
        <f>[1]!'4526.TW-DXLOrderValueDiffRatio'</f>
        <v>0</v>
      </c>
      <c r="L124">
        <f>[1]!'4526.TW-DLOrderValueDiffRatio'</f>
        <v>29.27</v>
      </c>
      <c r="M124" t="str">
        <f>[1]!'4526.TW-ExchangeIndustry'</f>
        <v>上市電機機械</v>
      </c>
      <c r="N124" t="str">
        <f>[1]!'4526.TW-Capital'</f>
        <v>25.48</v>
      </c>
      <c r="O124" t="str">
        <f>[1]!'4526.TW-Time'</f>
        <v>10:14:04</v>
      </c>
    </row>
    <row r="125" spans="1:15" x14ac:dyDescent="0.25">
      <c r="A125" t="str">
        <f>[1]!'4532.TW-ID'</f>
        <v>4532</v>
      </c>
      <c r="B125" t="str">
        <f>[1]!'4532.TW-Name'</f>
        <v>瑞智</v>
      </c>
      <c r="C125">
        <f>[1]!'4532.TW-Price'</f>
        <v>18.399999999999999</v>
      </c>
      <c r="D125">
        <f>[1]!'4532.TW-AvgPrice'</f>
        <v>18.37</v>
      </c>
      <c r="E125">
        <f>[1]!'4532.TW-PriceChangeRatio'</f>
        <v>0.55000000000000004</v>
      </c>
      <c r="F125" t="str">
        <f>[1]!'4532.TW-InOutRatioNumber'</f>
        <v>48.57%</v>
      </c>
      <c r="G125">
        <f>[1]!'4532.TW-PreTotalVolumeRate'</f>
        <v>0.28000000000000003</v>
      </c>
      <c r="H125">
        <f>[1]!'4532.TW-VolumeRatio'</f>
        <v>0.83</v>
      </c>
      <c r="I125">
        <f>[1]!'4532.TW-5DayAvgVol'</f>
        <v>471</v>
      </c>
      <c r="J125">
        <f>[1]!'4532.TW-DXLOrderOutValueRatio'</f>
        <v>0</v>
      </c>
      <c r="K125">
        <f>[1]!'4532.TW-DXLOrderValueDiffRatio'</f>
        <v>0</v>
      </c>
      <c r="L125">
        <f>[1]!'4532.TW-DLOrderValueDiffRatio'</f>
        <v>0</v>
      </c>
      <c r="M125" t="str">
        <f>[1]!'4532.TW-ExchangeIndustry'</f>
        <v>上市電機機械</v>
      </c>
      <c r="N125" t="str">
        <f>[1]!'4532.TW-Capital'</f>
        <v>50.49</v>
      </c>
      <c r="O125" t="str">
        <f>[1]!'4532.TW-Time'</f>
        <v>10:08:40</v>
      </c>
    </row>
    <row r="126" spans="1:15" x14ac:dyDescent="0.25">
      <c r="A126" t="str">
        <f>[1]!'4540.TW-ID'</f>
        <v>4540</v>
      </c>
      <c r="B126" t="str">
        <f>[1]!'4540.TW-Name'</f>
        <v>全球傳動</v>
      </c>
      <c r="C126">
        <f>[1]!'4540.TW-Price'</f>
        <v>47</v>
      </c>
      <c r="D126">
        <f>[1]!'4540.TW-AvgPrice'</f>
        <v>46.98</v>
      </c>
      <c r="E126">
        <f>[1]!'4540.TW-PriceChangeRatio'</f>
        <v>-1.1599999999999999</v>
      </c>
      <c r="F126" t="str">
        <f>[1]!'4540.TW-InOutRatioNumber'</f>
        <v>10.34%</v>
      </c>
      <c r="G126">
        <f>[1]!'4540.TW-PreTotalVolumeRate'</f>
        <v>0.62</v>
      </c>
      <c r="H126">
        <f>[1]!'4540.TW-VolumeRatio'</f>
        <v>1.03</v>
      </c>
      <c r="I126">
        <f>[1]!'4540.TW-5DayAvgVol'</f>
        <v>108</v>
      </c>
      <c r="J126">
        <f>[1]!'4540.TW-DXLOrderOutValueRatio'</f>
        <v>0</v>
      </c>
      <c r="K126">
        <f>[1]!'4540.TW-DXLOrderValueDiffRatio'</f>
        <v>0</v>
      </c>
      <c r="L126">
        <f>[1]!'4540.TW-DLOrderValueDiffRatio'</f>
        <v>0</v>
      </c>
      <c r="M126" t="str">
        <f>[1]!'4540.TW-ExchangeIndustry'</f>
        <v>上市電機機械</v>
      </c>
      <c r="N126" t="str">
        <f>[1]!'4540.TW-Capital'</f>
        <v>9.42</v>
      </c>
      <c r="O126" t="str">
        <f>[1]!'4540.TW-Time'</f>
        <v>10:06:52</v>
      </c>
    </row>
    <row r="127" spans="1:15" x14ac:dyDescent="0.25">
      <c r="A127" t="str">
        <f>[1]!'4552.TW-ID'</f>
        <v>4552</v>
      </c>
      <c r="B127" t="str">
        <f>[1]!'4552.TW-Name'</f>
        <v>力達-KY</v>
      </c>
      <c r="C127">
        <f>[1]!'4552.TW-Price'</f>
        <v>30.2</v>
      </c>
      <c r="D127">
        <f>[1]!'4552.TW-AvgPrice'</f>
        <v>30.2</v>
      </c>
      <c r="E127">
        <f>[1]!'4552.TW-PriceChangeRatio'</f>
        <v>0.83</v>
      </c>
      <c r="F127" t="str">
        <f>[1]!'4552.TW-InOutRatioNumber'</f>
        <v>80.00%</v>
      </c>
      <c r="G127">
        <f>[1]!'4552.TW-PreTotalVolumeRate'</f>
        <v>0.18</v>
      </c>
      <c r="H127">
        <f>[1]!'4552.TW-VolumeRatio'</f>
        <v>0.83</v>
      </c>
      <c r="I127">
        <f>[1]!'4552.TW-5DayAvgVol'</f>
        <v>244</v>
      </c>
      <c r="J127">
        <f>[1]!'4552.TW-DXLOrderOutValueRatio'</f>
        <v>0</v>
      </c>
      <c r="K127">
        <f>[1]!'4552.TW-DXLOrderValueDiffRatio'</f>
        <v>0</v>
      </c>
      <c r="L127">
        <f>[1]!'4552.TW-DLOrderValueDiffRatio'</f>
        <v>0</v>
      </c>
      <c r="M127" t="str">
        <f>[1]!'4552.TW-ExchangeIndustry'</f>
        <v>上市電機機械</v>
      </c>
      <c r="N127" t="str">
        <f>[1]!'4552.TW-Capital'</f>
        <v>11.60</v>
      </c>
      <c r="O127" t="str">
        <f>[1]!'4552.TW-Time'</f>
        <v>09:51:38</v>
      </c>
    </row>
    <row r="128" spans="1:15" x14ac:dyDescent="0.25">
      <c r="A128" t="str">
        <f>[1]!'4555.TW-ID'</f>
        <v>4555</v>
      </c>
      <c r="B128" t="str">
        <f>[1]!'4555.TW-Name'</f>
        <v>氣立</v>
      </c>
      <c r="C128">
        <f>[1]!'4555.TW-Price'</f>
        <v>51.7</v>
      </c>
      <c r="D128">
        <f>[1]!'4555.TW-AvgPrice'</f>
        <v>51.56</v>
      </c>
      <c r="E128">
        <f>[1]!'4555.TW-PriceChangeRatio'</f>
        <v>-2.08</v>
      </c>
      <c r="F128" t="str">
        <f>[1]!'4555.TW-InOutRatioNumber'</f>
        <v>28.57%</v>
      </c>
      <c r="G128">
        <f>[1]!'4555.TW-PreTotalVolumeRate'</f>
        <v>0.52</v>
      </c>
      <c r="H128">
        <f>[1]!'4555.TW-VolumeRatio'</f>
        <v>0.66</v>
      </c>
      <c r="I128">
        <f>[1]!'4555.TW-5DayAvgVol'</f>
        <v>54</v>
      </c>
      <c r="J128">
        <f>[1]!'4555.TW-DXLOrderOutValueRatio'</f>
        <v>0</v>
      </c>
      <c r="K128">
        <f>[1]!'4555.TW-DXLOrderValueDiffRatio'</f>
        <v>0</v>
      </c>
      <c r="L128">
        <f>[1]!'4555.TW-DLOrderValueDiffRatio'</f>
        <v>0</v>
      </c>
      <c r="M128" t="str">
        <f>[1]!'4555.TW-ExchangeIndustry'</f>
        <v>上市電機機械</v>
      </c>
      <c r="N128" t="str">
        <f>[1]!'4555.TW-Capital'</f>
        <v>6.70</v>
      </c>
      <c r="O128" t="str">
        <f>[1]!'4555.TW-Time'</f>
        <v>09:34:58</v>
      </c>
    </row>
    <row r="129" spans="1:15" x14ac:dyDescent="0.25">
      <c r="A129" t="str">
        <f>[1]!'4560.TW-ID'</f>
        <v>4560</v>
      </c>
      <c r="B129" t="str">
        <f>[1]!'4560.TW-Name'</f>
        <v>強信-KY</v>
      </c>
      <c r="C129">
        <f>[1]!'4560.TW-Price'</f>
        <v>42.1</v>
      </c>
      <c r="D129">
        <f>[1]!'4560.TW-AvgPrice'</f>
        <v>42.22</v>
      </c>
      <c r="E129">
        <f>[1]!'4560.TW-PriceChangeRatio'</f>
        <v>-0.94</v>
      </c>
      <c r="F129" t="str">
        <f>[1]!'4560.TW-InOutRatioNumber'</f>
        <v>56.25%</v>
      </c>
      <c r="G129">
        <f>[1]!'4560.TW-PreTotalVolumeRate'</f>
        <v>0.62</v>
      </c>
      <c r="H129">
        <f>[1]!'4560.TW-VolumeRatio'</f>
        <v>1.17</v>
      </c>
      <c r="I129">
        <f>[1]!'4560.TW-5DayAvgVol'</f>
        <v>92</v>
      </c>
      <c r="J129">
        <f>[1]!'4560.TW-DXLOrderOutValueRatio'</f>
        <v>0</v>
      </c>
      <c r="K129">
        <f>[1]!'4560.TW-DXLOrderValueDiffRatio'</f>
        <v>0</v>
      </c>
      <c r="L129">
        <f>[1]!'4560.TW-DLOrderValueDiffRatio'</f>
        <v>12.56</v>
      </c>
      <c r="M129" t="str">
        <f>[1]!'4560.TW-ExchangeIndustry'</f>
        <v>上市電機機械</v>
      </c>
      <c r="N129" t="str">
        <f>[1]!'4560.TW-Capital'</f>
        <v>6.82</v>
      </c>
      <c r="O129" t="str">
        <f>[1]!'4560.TW-Time'</f>
        <v>09:47:47</v>
      </c>
    </row>
    <row r="130" spans="1:15" x14ac:dyDescent="0.25">
      <c r="A130" t="str">
        <f>[1]!'4562.TW-ID'</f>
        <v>4562</v>
      </c>
      <c r="B130" t="str">
        <f>[1]!'4562.TW-Name'</f>
        <v>穎漢</v>
      </c>
      <c r="C130">
        <f>[1]!'4562.TW-Price'</f>
        <v>18.2</v>
      </c>
      <c r="D130">
        <f>[1]!'4562.TW-AvgPrice'</f>
        <v>18.2</v>
      </c>
      <c r="E130">
        <f>[1]!'4562.TW-PriceChangeRatio'</f>
        <v>0.28000000000000003</v>
      </c>
      <c r="F130" t="str">
        <f>[1]!'4562.TW-InOutRatioNumber'</f>
        <v>100.00%</v>
      </c>
      <c r="G130">
        <f>[1]!'4562.TW-PreTotalVolumeRate'</f>
        <v>0.01</v>
      </c>
      <c r="H130">
        <f>[1]!'4562.TW-VolumeRatio'</f>
        <v>0</v>
      </c>
      <c r="I130">
        <f>[1]!'4562.TW-5DayAvgVol'</f>
        <v>53</v>
      </c>
      <c r="J130">
        <f>[1]!'4562.TW-DXLOrderOutValueRatio'</f>
        <v>0</v>
      </c>
      <c r="K130">
        <f>[1]!'4562.TW-DXLOrderValueDiffRatio'</f>
        <v>0</v>
      </c>
      <c r="L130">
        <f>[1]!'4562.TW-DLOrderValueDiffRatio'</f>
        <v>0</v>
      </c>
      <c r="M130" t="str">
        <f>[1]!'4562.TW-ExchangeIndustry'</f>
        <v>上市電機機械</v>
      </c>
      <c r="N130" t="str">
        <f>[1]!'4562.TW-Capital'</f>
        <v>6.75</v>
      </c>
      <c r="O130" t="str">
        <f>[1]!'4562.TW-Time'</f>
        <v>09:29:36</v>
      </c>
    </row>
    <row r="131" spans="1:15" x14ac:dyDescent="0.25">
      <c r="A131" t="str">
        <f>[1]!'4564.TW-ID'</f>
        <v>4564</v>
      </c>
      <c r="B131" t="str">
        <f>[1]!'4564.TW-Name'</f>
        <v>元翎</v>
      </c>
      <c r="C131">
        <f>[1]!'4564.TW-Price'</f>
        <v>42.1</v>
      </c>
      <c r="D131">
        <f>[1]!'4564.TW-AvgPrice'</f>
        <v>41.97</v>
      </c>
      <c r="E131">
        <f>[1]!'4564.TW-PriceChangeRatio'</f>
        <v>1.69</v>
      </c>
      <c r="F131" t="str">
        <f>[1]!'4564.TW-InOutRatioNumber'</f>
        <v>79.55%</v>
      </c>
      <c r="G131">
        <f>[1]!'4564.TW-PreTotalVolumeRate'</f>
        <v>0.69</v>
      </c>
      <c r="H131">
        <f>[1]!'4564.TW-VolumeRatio'</f>
        <v>1.78</v>
      </c>
      <c r="I131">
        <f>[1]!'4564.TW-5DayAvgVol'</f>
        <v>412</v>
      </c>
      <c r="J131">
        <f>[1]!'4564.TW-DXLOrderOutValueRatio'</f>
        <v>0</v>
      </c>
      <c r="K131">
        <f>[1]!'4564.TW-DXLOrderValueDiffRatio'</f>
        <v>0</v>
      </c>
      <c r="L131">
        <f>[1]!'4564.TW-DLOrderValueDiffRatio'</f>
        <v>12.44</v>
      </c>
      <c r="M131" t="str">
        <f>[1]!'4564.TW-ExchangeIndustry'</f>
        <v>上市電機機械</v>
      </c>
      <c r="N131" t="str">
        <f>[1]!'4564.TW-Capital'</f>
        <v>18.28</v>
      </c>
      <c r="O131" t="str">
        <f>[1]!'4564.TW-Time'</f>
        <v>10:14:08</v>
      </c>
    </row>
    <row r="132" spans="1:15" x14ac:dyDescent="0.25">
      <c r="A132" t="str">
        <f>[1]!'4566.TW-ID'</f>
        <v>4566</v>
      </c>
      <c r="B132" t="str">
        <f>[1]!'4566.TW-Name'</f>
        <v>時碩工業</v>
      </c>
      <c r="C132">
        <f>[1]!'4566.TW-Price'</f>
        <v>41.7</v>
      </c>
      <c r="D132">
        <f>[1]!'4566.TW-AvgPrice'</f>
        <v>41.7</v>
      </c>
      <c r="E132">
        <f>[1]!'4566.TW-PriceChangeRatio'</f>
        <v>-0.95</v>
      </c>
      <c r="F132" t="str">
        <f>[1]!'4566.TW-InOutRatioNumber'</f>
        <v>0.00%</v>
      </c>
      <c r="G132">
        <f>[1]!'4566.TW-PreTotalVolumeRate'</f>
        <v>0.05</v>
      </c>
      <c r="H132">
        <f>[1]!'4566.TW-VolumeRatio'</f>
        <v>0.25</v>
      </c>
      <c r="I132">
        <f>[1]!'4566.TW-5DayAvgVol'</f>
        <v>39</v>
      </c>
      <c r="J132">
        <f>[1]!'4566.TW-DXLOrderOutValueRatio'</f>
        <v>0</v>
      </c>
      <c r="K132">
        <f>[1]!'4566.TW-DXLOrderValueDiffRatio'</f>
        <v>0</v>
      </c>
      <c r="L132">
        <f>[1]!'4566.TW-DLOrderValueDiffRatio'</f>
        <v>0</v>
      </c>
      <c r="M132" t="str">
        <f>[1]!'4566.TW-ExchangeIndustry'</f>
        <v>上市電機機械</v>
      </c>
      <c r="N132" t="str">
        <f>[1]!'4566.TW-Capital'</f>
        <v>7.19</v>
      </c>
      <c r="O132" t="str">
        <f>[1]!'4566.TW-Time'</f>
        <v>09:49:37</v>
      </c>
    </row>
    <row r="133" spans="1:15" x14ac:dyDescent="0.25">
      <c r="A133" t="str">
        <f>[1]!'4571.TW-ID'</f>
        <v>4571</v>
      </c>
      <c r="B133" t="str">
        <f>[1]!'4571.TW-Name'</f>
        <v>鈞興-KY</v>
      </c>
      <c r="C133">
        <f>[1]!'4571.TW-Price'</f>
        <v>96.1</v>
      </c>
      <c r="D133">
        <f>[1]!'4571.TW-AvgPrice'</f>
        <v>96.58</v>
      </c>
      <c r="E133">
        <f>[1]!'4571.TW-PriceChangeRatio'</f>
        <v>-1.1299999999999999</v>
      </c>
      <c r="F133" t="str">
        <f>[1]!'4571.TW-InOutRatioNumber'</f>
        <v>0.00%</v>
      </c>
      <c r="G133">
        <f>[1]!'4571.TW-PreTotalVolumeRate'</f>
        <v>0.1</v>
      </c>
      <c r="H133">
        <f>[1]!'4571.TW-VolumeRatio'</f>
        <v>0.79</v>
      </c>
      <c r="I133">
        <f>[1]!'4571.TW-5DayAvgVol'</f>
        <v>40</v>
      </c>
      <c r="J133">
        <f>[1]!'4571.TW-DXLOrderOutValueRatio'</f>
        <v>0</v>
      </c>
      <c r="K133">
        <f>[1]!'4571.TW-DXLOrderValueDiffRatio'</f>
        <v>0</v>
      </c>
      <c r="L133">
        <f>[1]!'4571.TW-DLOrderValueDiffRatio'</f>
        <v>0</v>
      </c>
      <c r="M133" t="str">
        <f>[1]!'4571.TW-ExchangeIndustry'</f>
        <v>上市電機機械</v>
      </c>
      <c r="N133" t="str">
        <f>[1]!'4571.TW-Capital'</f>
        <v>4.84</v>
      </c>
      <c r="O133" t="str">
        <f>[1]!'4571.TW-Time'</f>
        <v>09:53:52</v>
      </c>
    </row>
    <row r="134" spans="1:15" x14ac:dyDescent="0.25">
      <c r="A134" t="str">
        <f>[1]!'4572.TW-ID'</f>
        <v>4572</v>
      </c>
      <c r="B134" t="str">
        <f>[1]!'4572.TW-Name'</f>
        <v>駐龍</v>
      </c>
      <c r="C134">
        <f>[1]!'4572.TW-Price'</f>
        <v>99</v>
      </c>
      <c r="D134">
        <f>[1]!'4572.TW-AvgPrice'</f>
        <v>99</v>
      </c>
      <c r="E134">
        <f>[1]!'4572.TW-PriceChangeRatio'</f>
        <v>-0.3</v>
      </c>
      <c r="F134" t="str">
        <f>[1]!'4572.TW-InOutRatioNumber'</f>
        <v>75.00%</v>
      </c>
      <c r="G134">
        <f>[1]!'4572.TW-PreTotalVolumeRate'</f>
        <v>0.5</v>
      </c>
      <c r="H134">
        <f>[1]!'4572.TW-VolumeRatio'</f>
        <v>0.75</v>
      </c>
      <c r="I134">
        <f>[1]!'4572.TW-5DayAvgVol'</f>
        <v>15</v>
      </c>
      <c r="J134">
        <f>[1]!'4572.TW-DXLOrderOutValueRatio'</f>
        <v>0</v>
      </c>
      <c r="K134">
        <f>[1]!'4572.TW-DXLOrderValueDiffRatio'</f>
        <v>0</v>
      </c>
      <c r="L134">
        <f>[1]!'4572.TW-DLOrderValueDiffRatio'</f>
        <v>0</v>
      </c>
      <c r="M134" t="str">
        <f>[1]!'4572.TW-ExchangeIndustry'</f>
        <v>上市電機機械</v>
      </c>
      <c r="N134" t="str">
        <f>[1]!'4572.TW-Capital'</f>
        <v>3.58</v>
      </c>
      <c r="O134" t="str">
        <f>[1]!'4572.TW-Time'</f>
        <v>10:06:38</v>
      </c>
    </row>
    <row r="135" spans="1:15" x14ac:dyDescent="0.25">
      <c r="A135" t="str">
        <f>[1]!'4576.TW-ID'</f>
        <v>4576</v>
      </c>
      <c r="B135" t="str">
        <f>[1]!'4576.TW-Name'</f>
        <v>大銀微系統</v>
      </c>
      <c r="C135">
        <f>[1]!'4576.TW-Price'</f>
        <v>98.4</v>
      </c>
      <c r="D135">
        <f>[1]!'4576.TW-AvgPrice'</f>
        <v>98.4</v>
      </c>
      <c r="E135">
        <f>[1]!'4576.TW-PriceChangeRatio'</f>
        <v>1.65</v>
      </c>
      <c r="F135" t="str">
        <f>[1]!'4576.TW-InOutRatioNumber'</f>
        <v>40.00%</v>
      </c>
      <c r="G135">
        <f>[1]!'4576.TW-PreTotalVolumeRate'</f>
        <v>0.45</v>
      </c>
      <c r="H135">
        <f>[1]!'4576.TW-VolumeRatio'</f>
        <v>1.24</v>
      </c>
      <c r="I135">
        <f>[1]!'4576.TW-5DayAvgVol'</f>
        <v>55</v>
      </c>
      <c r="J135">
        <f>[1]!'4576.TW-DXLOrderOutValueRatio'</f>
        <v>0</v>
      </c>
      <c r="K135">
        <f>[1]!'4576.TW-DXLOrderValueDiffRatio'</f>
        <v>0</v>
      </c>
      <c r="L135">
        <f>[1]!'4576.TW-DLOrderValueDiffRatio'</f>
        <v>0</v>
      </c>
      <c r="M135" t="str">
        <f>[1]!'4576.TW-ExchangeIndustry'</f>
        <v>上市電機機械</v>
      </c>
      <c r="N135" t="str">
        <f>[1]!'4576.TW-Capital'</f>
        <v>11.98</v>
      </c>
      <c r="O135" t="str">
        <f>[1]!'4576.TW-Time'</f>
        <v>10:08:35</v>
      </c>
    </row>
    <row r="136" spans="1:15" x14ac:dyDescent="0.25">
      <c r="A136" t="str">
        <f>[1]!'5288.TW-ID'</f>
        <v>5288</v>
      </c>
      <c r="B136" t="str">
        <f>[1]!'5288.TW-Name'</f>
        <v>豐祥-KY</v>
      </c>
      <c r="C136">
        <f>[1]!'5288.TW-Price'</f>
        <v>142.5</v>
      </c>
      <c r="D136">
        <f>[1]!'5288.TW-AvgPrice'</f>
        <v>141.88</v>
      </c>
      <c r="E136">
        <f>[1]!'5288.TW-PriceChangeRatio'</f>
        <v>0.35</v>
      </c>
      <c r="F136" t="str">
        <f>[1]!'5288.TW-InOutRatioNumber'</f>
        <v>41.67%</v>
      </c>
      <c r="G136">
        <f>[1]!'5288.TW-PreTotalVolumeRate'</f>
        <v>0.16</v>
      </c>
      <c r="H136">
        <f>[1]!'5288.TW-VolumeRatio'</f>
        <v>0.55000000000000004</v>
      </c>
      <c r="I136">
        <f>[1]!'5288.TW-5DayAvgVol'</f>
        <v>90</v>
      </c>
      <c r="J136">
        <f>[1]!'5288.TW-DXLOrderOutValueRatio'</f>
        <v>0</v>
      </c>
      <c r="K136">
        <f>[1]!'5288.TW-DXLOrderValueDiffRatio'</f>
        <v>0</v>
      </c>
      <c r="L136">
        <f>[1]!'5288.TW-DLOrderValueDiffRatio'</f>
        <v>0</v>
      </c>
      <c r="M136" t="str">
        <f>[1]!'5288.TW-ExchangeIndustry'</f>
        <v>上市電機機械</v>
      </c>
      <c r="N136" t="str">
        <f>[1]!'5288.TW-Capital'</f>
        <v>6.58</v>
      </c>
      <c r="O136" t="str">
        <f>[1]!'5288.TW-Time'</f>
        <v>10:11:31</v>
      </c>
    </row>
    <row r="137" spans="1:15" x14ac:dyDescent="0.25">
      <c r="A137" t="str">
        <f>[1]!'8222.TW-ID'</f>
        <v>8222</v>
      </c>
      <c r="B137" t="str">
        <f>[1]!'8222.TW-Name'</f>
        <v>寶一</v>
      </c>
      <c r="C137">
        <f>[1]!'8222.TW-Price'</f>
        <v>14.2</v>
      </c>
      <c r="D137">
        <f>[1]!'8222.TW-AvgPrice'</f>
        <v>14.31</v>
      </c>
      <c r="E137">
        <f>[1]!'8222.TW-PriceChangeRatio'</f>
        <v>0</v>
      </c>
      <c r="F137" t="str">
        <f>[1]!'8222.TW-InOutRatioNumber'</f>
        <v>0.00%</v>
      </c>
      <c r="G137">
        <f>[1]!'8222.TW-PreTotalVolumeRate'</f>
        <v>0.08</v>
      </c>
      <c r="H137">
        <f>[1]!'8222.TW-VolumeRatio'</f>
        <v>0.1</v>
      </c>
      <c r="I137">
        <f>[1]!'8222.TW-5DayAvgVol'</f>
        <v>93</v>
      </c>
      <c r="J137">
        <f>[1]!'8222.TW-DXLOrderOutValueRatio'</f>
        <v>0</v>
      </c>
      <c r="K137">
        <f>[1]!'8222.TW-DXLOrderValueDiffRatio'</f>
        <v>0</v>
      </c>
      <c r="L137">
        <f>[1]!'8222.TW-DLOrderValueDiffRatio'</f>
        <v>0</v>
      </c>
      <c r="M137" t="str">
        <f>[1]!'8222.TW-ExchangeIndustry'</f>
        <v>上市電機機械</v>
      </c>
      <c r="N137" t="str">
        <f>[1]!'8222.TW-Capital'</f>
        <v>6.86</v>
      </c>
      <c r="O137" t="str">
        <f>[1]!'8222.TW-Time'</f>
        <v>10:11:25</v>
      </c>
    </row>
    <row r="138" spans="1:15" x14ac:dyDescent="0.25">
      <c r="A138" t="str">
        <f>[1]!'8374.TW-ID'</f>
        <v>8374</v>
      </c>
      <c r="B138" t="str">
        <f>[1]!'8374.TW-Name'</f>
        <v>羅昇</v>
      </c>
      <c r="C138">
        <f>[1]!'8374.TW-Price'</f>
        <v>30.3</v>
      </c>
      <c r="D138">
        <f>[1]!'8374.TW-AvgPrice'</f>
        <v>30.38</v>
      </c>
      <c r="E138">
        <f>[1]!'8374.TW-PriceChangeRatio'</f>
        <v>-1.3</v>
      </c>
      <c r="F138" t="str">
        <f>[1]!'8374.TW-InOutRatioNumber'</f>
        <v>0.00%</v>
      </c>
      <c r="G138">
        <f>[1]!'8374.TW-PreTotalVolumeRate'</f>
        <v>0.09</v>
      </c>
      <c r="H138">
        <f>[1]!'8374.TW-VolumeRatio'</f>
        <v>0.23</v>
      </c>
      <c r="I138">
        <f>[1]!'8374.TW-5DayAvgVol'</f>
        <v>92</v>
      </c>
      <c r="J138">
        <f>[1]!'8374.TW-DXLOrderOutValueRatio'</f>
        <v>0</v>
      </c>
      <c r="K138">
        <f>[1]!'8374.TW-DXLOrderValueDiffRatio'</f>
        <v>0</v>
      </c>
      <c r="L138">
        <f>[1]!'8374.TW-DLOrderValueDiffRatio'</f>
        <v>0</v>
      </c>
      <c r="M138" t="str">
        <f>[1]!'8374.TW-ExchangeIndustry'</f>
        <v>上市電機機械</v>
      </c>
      <c r="N138" t="str">
        <f>[1]!'8374.TW-Capital'</f>
        <v>11.23</v>
      </c>
      <c r="O138" t="str">
        <f>[1]!'8374.TW-Time'</f>
        <v>09:52:03</v>
      </c>
    </row>
    <row r="139" spans="1:15" x14ac:dyDescent="0.25">
      <c r="A139" t="str">
        <f>[1]!'8996.TW-ID'</f>
        <v>8996</v>
      </c>
      <c r="B139" t="str">
        <f>[1]!'8996.TW-Name'</f>
        <v>高力</v>
      </c>
      <c r="C139">
        <f>[1]!'8996.TW-Price'</f>
        <v>43.75</v>
      </c>
      <c r="D139">
        <f>[1]!'8996.TW-AvgPrice'</f>
        <v>43.47</v>
      </c>
      <c r="E139">
        <f>[1]!'8996.TW-PriceChangeRatio'</f>
        <v>1.74</v>
      </c>
      <c r="F139" t="str">
        <f>[1]!'8996.TW-InOutRatioNumber'</f>
        <v>59.18%</v>
      </c>
      <c r="G139">
        <f>[1]!'8996.TW-PreTotalVolumeRate'</f>
        <v>0.67</v>
      </c>
      <c r="H139">
        <f>[1]!'8996.TW-VolumeRatio'</f>
        <v>2.57</v>
      </c>
      <c r="I139">
        <f>[1]!'8996.TW-5DayAvgVol'</f>
        <v>83</v>
      </c>
      <c r="J139">
        <f>[1]!'8996.TW-DXLOrderOutValueRatio'</f>
        <v>0</v>
      </c>
      <c r="K139">
        <f>[1]!'8996.TW-DXLOrderValueDiffRatio'</f>
        <v>0</v>
      </c>
      <c r="L139">
        <f>[1]!'8996.TW-DLOrderValueDiffRatio'</f>
        <v>0</v>
      </c>
      <c r="M139" t="str">
        <f>[1]!'8996.TW-ExchangeIndustry'</f>
        <v>上市電機機械</v>
      </c>
      <c r="N139" t="str">
        <f>[1]!'8996.TW-Capital'</f>
        <v>8.94</v>
      </c>
      <c r="O139" t="str">
        <f>[1]!'8996.TW-Time'</f>
        <v>10:05:05</v>
      </c>
    </row>
    <row r="140" spans="1:15" x14ac:dyDescent="0.25">
      <c r="A140" t="str">
        <f>[1]!'1603.TW-ID'</f>
        <v>1603</v>
      </c>
      <c r="B140" t="str">
        <f>[1]!'1603.TW-Name'</f>
        <v>華電</v>
      </c>
      <c r="C140">
        <f>[1]!'1603.TW-Price'</f>
        <v>26.6</v>
      </c>
      <c r="D140">
        <f>[1]!'1603.TW-AvgPrice'</f>
        <v>27.44</v>
      </c>
      <c r="E140">
        <f>[1]!'1603.TW-PriceChangeRatio'</f>
        <v>0</v>
      </c>
      <c r="F140" t="str">
        <f>[1]!'1603.TW-InOutRatioNumber'</f>
        <v>50.79%</v>
      </c>
      <c r="G140">
        <f>[1]!'1603.TW-PreTotalVolumeRate'</f>
        <v>0.91</v>
      </c>
      <c r="H140">
        <f>[1]!'1603.TW-VolumeRatio'</f>
        <v>2.39</v>
      </c>
      <c r="I140">
        <f>[1]!'1603.TW-5DayAvgVol'</f>
        <v>176</v>
      </c>
      <c r="J140">
        <f>[1]!'1603.TW-DXLOrderOutValueRatio'</f>
        <v>14.36</v>
      </c>
      <c r="K140">
        <f>[1]!'1603.TW-DXLOrderValueDiffRatio'</f>
        <v>14.36</v>
      </c>
      <c r="L140">
        <f>[1]!'1603.TW-DLOrderValueDiffRatio'</f>
        <v>-7.01</v>
      </c>
      <c r="M140" t="str">
        <f>[1]!'1603.TW-ExchangeIndustry'</f>
        <v>上市電器電纜</v>
      </c>
      <c r="N140" t="str">
        <f>[1]!'1603.TW-Capital'</f>
        <v>19.17</v>
      </c>
      <c r="O140" t="str">
        <f>[1]!'1603.TW-Time'</f>
        <v>10:10:12</v>
      </c>
    </row>
    <row r="141" spans="1:15" x14ac:dyDescent="0.25">
      <c r="A141" t="str">
        <f>[1]!'1604.TW-ID'</f>
        <v>1604</v>
      </c>
      <c r="B141" t="str">
        <f>[1]!'1604.TW-Name'</f>
        <v>聲寶</v>
      </c>
      <c r="C141">
        <f>[1]!'1604.TW-Price'</f>
        <v>29.75</v>
      </c>
      <c r="D141">
        <f>[1]!'1604.TW-AvgPrice'</f>
        <v>29.83</v>
      </c>
      <c r="E141">
        <f>[1]!'1604.TW-PriceChangeRatio'</f>
        <v>0.17</v>
      </c>
      <c r="F141" t="str">
        <f>[1]!'1604.TW-InOutRatioNumber'</f>
        <v>28.41%</v>
      </c>
      <c r="G141">
        <f>[1]!'1604.TW-PreTotalVolumeRate'</f>
        <v>0.2</v>
      </c>
      <c r="H141">
        <f>[1]!'1604.TW-VolumeRatio'</f>
        <v>0.55000000000000004</v>
      </c>
      <c r="I141">
        <f>[1]!'1604.TW-5DayAvgVol'</f>
        <v>1192</v>
      </c>
      <c r="J141">
        <f>[1]!'1604.TW-DXLOrderOutValueRatio'</f>
        <v>0</v>
      </c>
      <c r="K141">
        <f>[1]!'1604.TW-DXLOrderValueDiffRatio'</f>
        <v>0</v>
      </c>
      <c r="L141">
        <f>[1]!'1604.TW-DLOrderValueDiffRatio'</f>
        <v>-0.51</v>
      </c>
      <c r="M141" t="str">
        <f>[1]!'1604.TW-ExchangeIndustry'</f>
        <v>上市電器電纜</v>
      </c>
      <c r="N141" t="str">
        <f>[1]!'1604.TW-Capital'</f>
        <v>38.72</v>
      </c>
      <c r="O141" t="str">
        <f>[1]!'1604.TW-Time'</f>
        <v>10:14:21</v>
      </c>
    </row>
    <row r="142" spans="1:15" x14ac:dyDescent="0.25">
      <c r="A142" t="str">
        <f>[1]!'1605.TW-ID'</f>
        <v>1605</v>
      </c>
      <c r="B142" t="str">
        <f>[1]!'1605.TW-Name'</f>
        <v>華新</v>
      </c>
      <c r="C142">
        <f>[1]!'1605.TW-Price'</f>
        <v>26.1</v>
      </c>
      <c r="D142">
        <f>[1]!'1605.TW-AvgPrice'</f>
        <v>25.87</v>
      </c>
      <c r="E142">
        <f>[1]!'1605.TW-PriceChangeRatio'</f>
        <v>3.57</v>
      </c>
      <c r="F142" t="str">
        <f>[1]!'1605.TW-InOutRatioNumber'</f>
        <v>52.94%</v>
      </c>
      <c r="G142">
        <f>[1]!'1605.TW-PreTotalVolumeRate'</f>
        <v>0.43</v>
      </c>
      <c r="H142">
        <f>[1]!'1605.TW-VolumeRatio'</f>
        <v>0.86</v>
      </c>
      <c r="I142">
        <f>[1]!'1605.TW-5DayAvgVol'</f>
        <v>16118</v>
      </c>
      <c r="J142">
        <f>[1]!'1605.TW-DXLOrderOutValueRatio'</f>
        <v>28.91</v>
      </c>
      <c r="K142">
        <f>[1]!'1605.TW-DXLOrderValueDiffRatio'</f>
        <v>9.6999999999999993</v>
      </c>
      <c r="L142">
        <f>[1]!'1605.TW-DLOrderValueDiffRatio'</f>
        <v>0.42</v>
      </c>
      <c r="M142" t="str">
        <f>[1]!'1605.TW-ExchangeIndustry'</f>
        <v>上市電器電纜</v>
      </c>
      <c r="N142" t="str">
        <f>[1]!'1605.TW-Capital'</f>
        <v>343.13</v>
      </c>
      <c r="O142" t="str">
        <f>[1]!'1605.TW-Time'</f>
        <v>10:15:13</v>
      </c>
    </row>
    <row r="143" spans="1:15" x14ac:dyDescent="0.25">
      <c r="A143" t="str">
        <f>[1]!'1608.TW-ID'</f>
        <v>1608</v>
      </c>
      <c r="B143" t="str">
        <f>[1]!'1608.TW-Name'</f>
        <v>華榮</v>
      </c>
      <c r="C143">
        <f>[1]!'1608.TW-Price'</f>
        <v>23.3</v>
      </c>
      <c r="D143">
        <f>[1]!'1608.TW-AvgPrice'</f>
        <v>23.64</v>
      </c>
      <c r="E143">
        <f>[1]!'1608.TW-PriceChangeRatio'</f>
        <v>-2.92</v>
      </c>
      <c r="F143" t="str">
        <f>[1]!'1608.TW-InOutRatioNumber'</f>
        <v>47.72%</v>
      </c>
      <c r="G143">
        <f>[1]!'1608.TW-PreTotalVolumeRate'</f>
        <v>0.36</v>
      </c>
      <c r="H143">
        <f>[1]!'1608.TW-VolumeRatio'</f>
        <v>0.68</v>
      </c>
      <c r="I143">
        <f>[1]!'1608.TW-5DayAvgVol'</f>
        <v>9727</v>
      </c>
      <c r="J143">
        <f>[1]!'1608.TW-DXLOrderOutValueRatio'</f>
        <v>16.989999999999998</v>
      </c>
      <c r="K143">
        <f>[1]!'1608.TW-DXLOrderValueDiffRatio'</f>
        <v>1.44</v>
      </c>
      <c r="L143">
        <f>[1]!'1608.TW-DLOrderValueDiffRatio'</f>
        <v>-0.99</v>
      </c>
      <c r="M143" t="str">
        <f>[1]!'1608.TW-ExchangeIndustry'</f>
        <v>上市電器電纜</v>
      </c>
      <c r="N143" t="str">
        <f>[1]!'1608.TW-Capital'</f>
        <v>63.28</v>
      </c>
      <c r="O143" t="str">
        <f>[1]!'1608.TW-Time'</f>
        <v>10:15:19</v>
      </c>
    </row>
    <row r="144" spans="1:15" x14ac:dyDescent="0.25">
      <c r="A144" t="str">
        <f>[1]!'1609.TW-ID'</f>
        <v>1609</v>
      </c>
      <c r="B144" t="str">
        <f>[1]!'1609.TW-Name'</f>
        <v>大亞</v>
      </c>
      <c r="C144">
        <f>[1]!'1609.TW-Price'</f>
        <v>25.45</v>
      </c>
      <c r="D144">
        <f>[1]!'1609.TW-AvgPrice'</f>
        <v>25.64</v>
      </c>
      <c r="E144">
        <f>[1]!'1609.TW-PriceChangeRatio'</f>
        <v>0.59</v>
      </c>
      <c r="F144" t="str">
        <f>[1]!'1609.TW-InOutRatioNumber'</f>
        <v>47.89%</v>
      </c>
      <c r="G144">
        <f>[1]!'1609.TW-PreTotalVolumeRate'</f>
        <v>0.28000000000000003</v>
      </c>
      <c r="H144">
        <f>[1]!'1609.TW-VolumeRatio'</f>
        <v>0.6</v>
      </c>
      <c r="I144">
        <f>[1]!'1609.TW-5DayAvgVol'</f>
        <v>6005</v>
      </c>
      <c r="J144">
        <f>[1]!'1609.TW-DXLOrderOutValueRatio'</f>
        <v>7.31</v>
      </c>
      <c r="K144">
        <f>[1]!'1609.TW-DXLOrderValueDiffRatio'</f>
        <v>-0.24</v>
      </c>
      <c r="L144">
        <f>[1]!'1609.TW-DLOrderValueDiffRatio'</f>
        <v>-2.27</v>
      </c>
      <c r="M144" t="str">
        <f>[1]!'1609.TW-ExchangeIndustry'</f>
        <v>上市電器電纜</v>
      </c>
      <c r="N144" t="str">
        <f>[1]!'1609.TW-Capital'</f>
        <v>64.59</v>
      </c>
      <c r="O144" t="str">
        <f>[1]!'1609.TW-Time'</f>
        <v>10:14:50</v>
      </c>
    </row>
    <row r="145" spans="1:15" x14ac:dyDescent="0.25">
      <c r="A145" t="str">
        <f>[1]!'1611.TW-ID'</f>
        <v>1611</v>
      </c>
      <c r="B145" t="str">
        <f>[1]!'1611.TW-Name'</f>
        <v>中電</v>
      </c>
      <c r="C145">
        <f>[1]!'1611.TW-Price'</f>
        <v>10.15</v>
      </c>
      <c r="D145">
        <f>[1]!'1611.TW-AvgPrice'</f>
        <v>10.11</v>
      </c>
      <c r="E145">
        <f>[1]!'1611.TW-PriceChangeRatio'</f>
        <v>1</v>
      </c>
      <c r="F145" t="str">
        <f>[1]!'1611.TW-InOutRatioNumber'</f>
        <v>46.15%</v>
      </c>
      <c r="G145">
        <f>[1]!'1611.TW-PreTotalVolumeRate'</f>
        <v>0.08</v>
      </c>
      <c r="H145">
        <f>[1]!'1611.TW-VolumeRatio'</f>
        <v>0.26</v>
      </c>
      <c r="I145">
        <f>[1]!'1611.TW-5DayAvgVol'</f>
        <v>325</v>
      </c>
      <c r="J145">
        <f>[1]!'1611.TW-DXLOrderOutValueRatio'</f>
        <v>0</v>
      </c>
      <c r="K145">
        <f>[1]!'1611.TW-DXLOrderValueDiffRatio'</f>
        <v>0</v>
      </c>
      <c r="L145">
        <f>[1]!'1611.TW-DLOrderValueDiffRatio'</f>
        <v>0</v>
      </c>
      <c r="M145" t="str">
        <f>[1]!'1611.TW-ExchangeIndustry'</f>
        <v>上市電器電纜</v>
      </c>
      <c r="N145" t="str">
        <f>[1]!'1611.TW-Capital'</f>
        <v>32.27</v>
      </c>
      <c r="O145" t="str">
        <f>[1]!'1611.TW-Time'</f>
        <v>10:03:24</v>
      </c>
    </row>
    <row r="146" spans="1:15" x14ac:dyDescent="0.25">
      <c r="A146" t="str">
        <f>[1]!'1612.TW-ID'</f>
        <v>1612</v>
      </c>
      <c r="B146" t="str">
        <f>[1]!'1612.TW-Name'</f>
        <v>宏泰</v>
      </c>
      <c r="C146">
        <f>[1]!'1612.TW-Price'</f>
        <v>24.95</v>
      </c>
      <c r="D146">
        <f>[1]!'1612.TW-AvgPrice'</f>
        <v>24.65</v>
      </c>
      <c r="E146">
        <f>[1]!'1612.TW-PriceChangeRatio'</f>
        <v>3.53</v>
      </c>
      <c r="F146" t="str">
        <f>[1]!'1612.TW-InOutRatioNumber'</f>
        <v>66.26%</v>
      </c>
      <c r="G146">
        <f>[1]!'1612.TW-PreTotalVolumeRate'</f>
        <v>0.5</v>
      </c>
      <c r="H146">
        <f>[1]!'1612.TW-VolumeRatio'</f>
        <v>1.05</v>
      </c>
      <c r="I146">
        <f>[1]!'1612.TW-5DayAvgVol'</f>
        <v>2235</v>
      </c>
      <c r="J146">
        <f>[1]!'1612.TW-DXLOrderOutValueRatio'</f>
        <v>17.61</v>
      </c>
      <c r="K146">
        <f>[1]!'1612.TW-DXLOrderValueDiffRatio'</f>
        <v>14.04</v>
      </c>
      <c r="L146">
        <f>[1]!'1612.TW-DLOrderValueDiffRatio'</f>
        <v>11.01</v>
      </c>
      <c r="M146" t="str">
        <f>[1]!'1612.TW-ExchangeIndustry'</f>
        <v>上市電器電纜</v>
      </c>
      <c r="N146" t="str">
        <f>[1]!'1612.TW-Capital'</f>
        <v>31.61</v>
      </c>
      <c r="O146" t="str">
        <f>[1]!'1612.TW-Time'</f>
        <v>10:15:14</v>
      </c>
    </row>
    <row r="147" spans="1:15" x14ac:dyDescent="0.25">
      <c r="A147" t="str">
        <f>[1]!'1614.TW-ID'</f>
        <v>1614</v>
      </c>
      <c r="B147" t="str">
        <f>[1]!'1614.TW-Name'</f>
        <v>三洋電</v>
      </c>
      <c r="C147">
        <f>[1]!'1614.TW-Price'</f>
        <v>34.200000000000003</v>
      </c>
      <c r="D147">
        <f>[1]!'1614.TW-AvgPrice'</f>
        <v>34.26</v>
      </c>
      <c r="E147">
        <f>[1]!'1614.TW-PriceChangeRatio'</f>
        <v>0.15</v>
      </c>
      <c r="F147" t="str">
        <f>[1]!'1614.TW-InOutRatioNumber'</f>
        <v>33.33%</v>
      </c>
      <c r="G147">
        <f>[1]!'1614.TW-PreTotalVolumeRate'</f>
        <v>1.06</v>
      </c>
      <c r="H147">
        <f>[1]!'1614.TW-VolumeRatio'</f>
        <v>3.44</v>
      </c>
      <c r="I147">
        <f>[1]!'1614.TW-5DayAvgVol'</f>
        <v>46</v>
      </c>
      <c r="J147">
        <f>[1]!'1614.TW-DXLOrderOutValueRatio'</f>
        <v>0</v>
      </c>
      <c r="K147">
        <f>[1]!'1614.TW-DXLOrderValueDiffRatio'</f>
        <v>0</v>
      </c>
      <c r="L147">
        <f>[1]!'1614.TW-DLOrderValueDiffRatio'</f>
        <v>0</v>
      </c>
      <c r="M147" t="str">
        <f>[1]!'1614.TW-ExchangeIndustry'</f>
        <v>上市電器電纜</v>
      </c>
      <c r="N147" t="str">
        <f>[1]!'1614.TW-Capital'</f>
        <v>26.91</v>
      </c>
      <c r="O147" t="str">
        <f>[1]!'1614.TW-Time'</f>
        <v>10:06:17</v>
      </c>
    </row>
    <row r="148" spans="1:15" x14ac:dyDescent="0.25">
      <c r="A148" t="str">
        <f>[1]!'1615.TW-ID'</f>
        <v>1615</v>
      </c>
      <c r="B148" t="str">
        <f>[1]!'1615.TW-Name'</f>
        <v>大山</v>
      </c>
      <c r="C148">
        <f>[1]!'1615.TW-Price'</f>
        <v>33.9</v>
      </c>
      <c r="D148">
        <f>[1]!'1615.TW-AvgPrice'</f>
        <v>34.01</v>
      </c>
      <c r="E148">
        <f>[1]!'1615.TW-PriceChangeRatio'</f>
        <v>1.35</v>
      </c>
      <c r="F148" t="str">
        <f>[1]!'1615.TW-InOutRatioNumber'</f>
        <v>62.86%</v>
      </c>
      <c r="G148">
        <f>[1]!'1615.TW-PreTotalVolumeRate'</f>
        <v>0.26</v>
      </c>
      <c r="H148">
        <f>[1]!'1615.TW-VolumeRatio'</f>
        <v>0.6</v>
      </c>
      <c r="I148">
        <f>[1]!'1615.TW-5DayAvgVol'</f>
        <v>104</v>
      </c>
      <c r="J148">
        <f>[1]!'1615.TW-DXLOrderOutValueRatio'</f>
        <v>0</v>
      </c>
      <c r="K148">
        <f>[1]!'1615.TW-DXLOrderValueDiffRatio'</f>
        <v>0</v>
      </c>
      <c r="L148">
        <f>[1]!'1615.TW-DLOrderValueDiffRatio'</f>
        <v>0</v>
      </c>
      <c r="M148" t="str">
        <f>[1]!'1615.TW-ExchangeIndustry'</f>
        <v>上市電器電纜</v>
      </c>
      <c r="N148" t="str">
        <f>[1]!'1615.TW-Capital'</f>
        <v>13.78</v>
      </c>
      <c r="O148" t="str">
        <f>[1]!'1615.TW-Time'</f>
        <v>10:12:51</v>
      </c>
    </row>
    <row r="149" spans="1:15" x14ac:dyDescent="0.25">
      <c r="A149" t="str">
        <f>[1]!'1616.TW-ID'</f>
        <v>1616</v>
      </c>
      <c r="B149" t="str">
        <f>[1]!'1616.TW-Name'</f>
        <v>億泰</v>
      </c>
      <c r="C149">
        <f>[1]!'1616.TW-Price'</f>
        <v>8.25</v>
      </c>
      <c r="D149">
        <f>[1]!'1616.TW-AvgPrice'</f>
        <v>8.3699999999999992</v>
      </c>
      <c r="E149">
        <f>[1]!'1616.TW-PriceChangeRatio'</f>
        <v>-1.2</v>
      </c>
      <c r="F149" t="str">
        <f>[1]!'1616.TW-InOutRatioNumber'</f>
        <v>43.75%</v>
      </c>
      <c r="G149">
        <f>[1]!'1616.TW-PreTotalVolumeRate'</f>
        <v>0.25</v>
      </c>
      <c r="H149">
        <f>[1]!'1616.TW-VolumeRatio'</f>
        <v>0.59</v>
      </c>
      <c r="I149">
        <f>[1]!'1616.TW-5DayAvgVol'</f>
        <v>307</v>
      </c>
      <c r="J149">
        <f>[1]!'1616.TW-DXLOrderOutValueRatio'</f>
        <v>0</v>
      </c>
      <c r="K149">
        <f>[1]!'1616.TW-DXLOrderValueDiffRatio'</f>
        <v>0</v>
      </c>
      <c r="L149">
        <f>[1]!'1616.TW-DLOrderValueDiffRatio'</f>
        <v>0</v>
      </c>
      <c r="M149" t="str">
        <f>[1]!'1616.TW-ExchangeIndustry'</f>
        <v>上市電器電纜</v>
      </c>
      <c r="N149" t="str">
        <f>[1]!'1616.TW-Capital'</f>
        <v>19.41</v>
      </c>
      <c r="O149" t="str">
        <f>[1]!'1616.TW-Time'</f>
        <v>10:12:51</v>
      </c>
    </row>
    <row r="150" spans="1:15" x14ac:dyDescent="0.25">
      <c r="A150" t="str">
        <f>[1]!'1617.TW-ID'</f>
        <v>1617</v>
      </c>
      <c r="B150" t="str">
        <f>[1]!'1617.TW-Name'</f>
        <v>榮星</v>
      </c>
      <c r="C150">
        <f>[1]!'1617.TW-Price'</f>
        <v>16.7</v>
      </c>
      <c r="D150">
        <f>[1]!'1617.TW-AvgPrice'</f>
        <v>16.84</v>
      </c>
      <c r="E150">
        <f>[1]!'1617.TW-PriceChangeRatio'</f>
        <v>0.3</v>
      </c>
      <c r="F150" t="str">
        <f>[1]!'1617.TW-InOutRatioNumber'</f>
        <v>27.14%</v>
      </c>
      <c r="G150">
        <f>[1]!'1617.TW-PreTotalVolumeRate'</f>
        <v>0.23</v>
      </c>
      <c r="H150">
        <f>[1]!'1617.TW-VolumeRatio'</f>
        <v>1.39</v>
      </c>
      <c r="I150">
        <f>[1]!'1617.TW-5DayAvgVol'</f>
        <v>115</v>
      </c>
      <c r="J150">
        <f>[1]!'1617.TW-DXLOrderOutValueRatio'</f>
        <v>0</v>
      </c>
      <c r="K150">
        <f>[1]!'1617.TW-DXLOrderValueDiffRatio'</f>
        <v>0</v>
      </c>
      <c r="L150">
        <f>[1]!'1617.TW-DLOrderValueDiffRatio'</f>
        <v>0</v>
      </c>
      <c r="M150" t="str">
        <f>[1]!'1617.TW-ExchangeIndustry'</f>
        <v>上市電器電纜</v>
      </c>
      <c r="N150" t="str">
        <f>[1]!'1617.TW-Capital'</f>
        <v>14.42</v>
      </c>
      <c r="O150" t="str">
        <f>[1]!'1617.TW-Time'</f>
        <v>10:14:31</v>
      </c>
    </row>
    <row r="151" spans="1:15" x14ac:dyDescent="0.25">
      <c r="A151" t="str">
        <f>[1]!'1626.TW-ID'</f>
        <v>1626</v>
      </c>
      <c r="B151" t="str">
        <f>[1]!'1626.TW-Name'</f>
        <v>艾美特-KY</v>
      </c>
      <c r="C151">
        <f>[1]!'1626.TW-Price'</f>
        <v>20.05</v>
      </c>
      <c r="D151">
        <f>[1]!'1626.TW-AvgPrice'</f>
        <v>20.11</v>
      </c>
      <c r="E151">
        <f>[1]!'1626.TW-PriceChangeRatio'</f>
        <v>-0.74</v>
      </c>
      <c r="F151" t="str">
        <f>[1]!'1626.TW-InOutRatioNumber'</f>
        <v>30.00%</v>
      </c>
      <c r="G151">
        <f>[1]!'1626.TW-PreTotalVolumeRate'</f>
        <v>0.32</v>
      </c>
      <c r="H151">
        <f>[1]!'1626.TW-VolumeRatio'</f>
        <v>1.1100000000000001</v>
      </c>
      <c r="I151">
        <f>[1]!'1626.TW-5DayAvgVol'</f>
        <v>63</v>
      </c>
      <c r="J151">
        <f>[1]!'1626.TW-DXLOrderOutValueRatio'</f>
        <v>0</v>
      </c>
      <c r="K151">
        <f>[1]!'1626.TW-DXLOrderValueDiffRatio'</f>
        <v>0</v>
      </c>
      <c r="L151">
        <f>[1]!'1626.TW-DLOrderValueDiffRatio'</f>
        <v>0</v>
      </c>
      <c r="M151" t="str">
        <f>[1]!'1626.TW-ExchangeIndustry'</f>
        <v>上市電器電纜</v>
      </c>
      <c r="N151" t="str">
        <f>[1]!'1626.TW-Capital'</f>
        <v>14.55</v>
      </c>
      <c r="O151" t="str">
        <f>[1]!'1626.TW-Time'</f>
        <v>09:58:28</v>
      </c>
    </row>
    <row r="152" spans="1:15" x14ac:dyDescent="0.25">
      <c r="A152" t="str">
        <f>[1]!'4930.TW-ID'</f>
        <v>4930</v>
      </c>
      <c r="B152" t="str">
        <f>[1]!'4930.TW-Name'</f>
        <v>燦星網</v>
      </c>
      <c r="C152">
        <f>[1]!'4930.TW-Price'</f>
        <v>20.7</v>
      </c>
      <c r="D152">
        <f>[1]!'4930.TW-AvgPrice'</f>
        <v>20.77</v>
      </c>
      <c r="E152">
        <f>[1]!'4930.TW-PriceChangeRatio'</f>
        <v>-0.48</v>
      </c>
      <c r="F152" t="str">
        <f>[1]!'4930.TW-InOutRatioNumber'</f>
        <v>40.00%</v>
      </c>
      <c r="G152">
        <f>[1]!'4930.TW-PreTotalVolumeRate'</f>
        <v>0.31</v>
      </c>
      <c r="H152">
        <f>[1]!'4930.TW-VolumeRatio'</f>
        <v>1.03</v>
      </c>
      <c r="I152">
        <f>[1]!'4930.TW-5DayAvgVol'</f>
        <v>306</v>
      </c>
      <c r="J152">
        <f>[1]!'4930.TW-DXLOrderOutValueRatio'</f>
        <v>0</v>
      </c>
      <c r="K152">
        <f>[1]!'4930.TW-DXLOrderValueDiffRatio'</f>
        <v>0</v>
      </c>
      <c r="L152">
        <f>[1]!'4930.TW-DLOrderValueDiffRatio'</f>
        <v>0</v>
      </c>
      <c r="M152" t="str">
        <f>[1]!'4930.TW-ExchangeIndustry'</f>
        <v>上市電器電纜</v>
      </c>
      <c r="N152" t="str">
        <f>[1]!'4930.TW-Capital'</f>
        <v>13.43</v>
      </c>
      <c r="O152" t="str">
        <f>[1]!'4930.TW-Time'</f>
        <v>10:12:18</v>
      </c>
    </row>
    <row r="153" spans="1:15" x14ac:dyDescent="0.25">
      <c r="A153" t="str">
        <f>[1]!'5283.TW-ID'</f>
        <v>5283</v>
      </c>
      <c r="B153" t="str">
        <f>[1]!'5283.TW-Name'</f>
        <v>禾聯碩</v>
      </c>
      <c r="C153">
        <f>[1]!'5283.TW-Price'</f>
        <v>110.5</v>
      </c>
      <c r="D153">
        <f>[1]!'5283.TW-AvgPrice'</f>
        <v>110.22</v>
      </c>
      <c r="E153">
        <f>[1]!'5283.TW-PriceChangeRatio'</f>
        <v>0</v>
      </c>
      <c r="F153" t="str">
        <f>[1]!'5283.TW-InOutRatioNumber'</f>
        <v>46.67%</v>
      </c>
      <c r="G153">
        <f>[1]!'5283.TW-PreTotalVolumeRate'</f>
        <v>0.42</v>
      </c>
      <c r="H153">
        <f>[1]!'5283.TW-VolumeRatio'</f>
        <v>1.2</v>
      </c>
      <c r="I153">
        <f>[1]!'5283.TW-5DayAvgVol'</f>
        <v>81</v>
      </c>
      <c r="J153">
        <f>[1]!'5283.TW-DXLOrderOutValueRatio'</f>
        <v>0</v>
      </c>
      <c r="K153">
        <f>[1]!'5283.TW-DXLOrderValueDiffRatio'</f>
        <v>0</v>
      </c>
      <c r="L153">
        <f>[1]!'5283.TW-DLOrderValueDiffRatio'</f>
        <v>0</v>
      </c>
      <c r="M153" t="str">
        <f>[1]!'5283.TW-ExchangeIndustry'</f>
        <v>上市電器電纜</v>
      </c>
      <c r="N153" t="str">
        <f>[1]!'5283.TW-Capital'</f>
        <v>7.30</v>
      </c>
      <c r="O153" t="str">
        <f>[1]!'5283.TW-Time'</f>
        <v>10:10:23</v>
      </c>
    </row>
    <row r="154" spans="1:15" x14ac:dyDescent="0.25">
      <c r="A154" t="str">
        <f>[1]!'1708.TW-ID'</f>
        <v>1708</v>
      </c>
      <c r="B154" t="str">
        <f>[1]!'1708.TW-Name'</f>
        <v>東鹼</v>
      </c>
      <c r="C154">
        <f>[1]!'1708.TW-Price'</f>
        <v>30.95</v>
      </c>
      <c r="D154">
        <f>[1]!'1708.TW-AvgPrice'</f>
        <v>30.76</v>
      </c>
      <c r="E154">
        <f>[1]!'1708.TW-PriceChangeRatio'</f>
        <v>-0.64</v>
      </c>
      <c r="F154" t="str">
        <f>[1]!'1708.TW-InOutRatioNumber'</f>
        <v>40.60%</v>
      </c>
      <c r="G154">
        <f>[1]!'1708.TW-PreTotalVolumeRate'</f>
        <v>0.59</v>
      </c>
      <c r="H154">
        <f>[1]!'1708.TW-VolumeRatio'</f>
        <v>1.0900000000000001</v>
      </c>
      <c r="I154">
        <f>[1]!'1708.TW-5DayAvgVol'</f>
        <v>3533</v>
      </c>
      <c r="J154">
        <f>[1]!'1708.TW-DXLOrderOutValueRatio'</f>
        <v>4.97</v>
      </c>
      <c r="K154">
        <f>[1]!'1708.TW-DXLOrderValueDiffRatio'</f>
        <v>4.97</v>
      </c>
      <c r="L154">
        <f>[1]!'1708.TW-DLOrderValueDiffRatio'</f>
        <v>-9.7899999999999991</v>
      </c>
      <c r="M154" t="str">
        <f>[1]!'1708.TW-ExchangeIndustry'</f>
        <v>上市化學生技醫療,上市化工</v>
      </c>
      <c r="N154" t="str">
        <f>[1]!'1708.TW-Capital'</f>
        <v>24.90</v>
      </c>
      <c r="O154" t="str">
        <f>[1]!'1708.TW-Time'</f>
        <v>10:14:43</v>
      </c>
    </row>
    <row r="155" spans="1:15" x14ac:dyDescent="0.25">
      <c r="A155" t="str">
        <f>[1]!'1709.TW-ID'</f>
        <v>1709</v>
      </c>
      <c r="B155" t="str">
        <f>[1]!'1709.TW-Name'</f>
        <v>和益</v>
      </c>
      <c r="C155">
        <f>[1]!'1709.TW-Price'</f>
        <v>20.55</v>
      </c>
      <c r="D155">
        <f>[1]!'1709.TW-AvgPrice'</f>
        <v>20.34</v>
      </c>
      <c r="E155">
        <f>[1]!'1709.TW-PriceChangeRatio'</f>
        <v>0.74</v>
      </c>
      <c r="F155" t="str">
        <f>[1]!'1709.TW-InOutRatioNumber'</f>
        <v>57.52%</v>
      </c>
      <c r="G155">
        <f>[1]!'1709.TW-PreTotalVolumeRate'</f>
        <v>0.23</v>
      </c>
      <c r="H155">
        <f>[1]!'1709.TW-VolumeRatio'</f>
        <v>0.42</v>
      </c>
      <c r="I155">
        <f>[1]!'1709.TW-5DayAvgVol'</f>
        <v>17008</v>
      </c>
      <c r="J155">
        <f>[1]!'1709.TW-DXLOrderOutValueRatio'</f>
        <v>5.91</v>
      </c>
      <c r="K155">
        <f>[1]!'1709.TW-DXLOrderValueDiffRatio'</f>
        <v>-1.03</v>
      </c>
      <c r="L155">
        <f>[1]!'1709.TW-DLOrderValueDiffRatio'</f>
        <v>5.28</v>
      </c>
      <c r="M155" t="str">
        <f>[1]!'1709.TW-ExchangeIndustry'</f>
        <v>上市化學生技醫療,上市化工</v>
      </c>
      <c r="N155" t="str">
        <f>[1]!'1709.TW-Capital'</f>
        <v>47.70</v>
      </c>
      <c r="O155" t="str">
        <f>[1]!'1709.TW-Time'</f>
        <v>10:15:17</v>
      </c>
    </row>
    <row r="156" spans="1:15" x14ac:dyDescent="0.25">
      <c r="A156" t="str">
        <f>[1]!'1710.TW-ID'</f>
        <v>1710</v>
      </c>
      <c r="B156" t="str">
        <f>[1]!'1710.TW-Name'</f>
        <v>東聯</v>
      </c>
      <c r="C156">
        <f>[1]!'1710.TW-Price'</f>
        <v>24.15</v>
      </c>
      <c r="D156">
        <f>[1]!'1710.TW-AvgPrice'</f>
        <v>23.67</v>
      </c>
      <c r="E156">
        <f>[1]!'1710.TW-PriceChangeRatio'</f>
        <v>8.3000000000000007</v>
      </c>
      <c r="F156" t="str">
        <f>[1]!'1710.TW-InOutRatioNumber'</f>
        <v>70.73%</v>
      </c>
      <c r="G156">
        <f>[1]!'1710.TW-PreTotalVolumeRate'</f>
        <v>3.85</v>
      </c>
      <c r="H156">
        <f>[1]!'1710.TW-VolumeRatio'</f>
        <v>7.33</v>
      </c>
      <c r="I156">
        <f>[1]!'1710.TW-5DayAvgVol'</f>
        <v>29142</v>
      </c>
      <c r="J156">
        <f>[1]!'1710.TW-DXLOrderOutValueRatio'</f>
        <v>37.79</v>
      </c>
      <c r="K156">
        <f>[1]!'1710.TW-DXLOrderValueDiffRatio'</f>
        <v>29.66</v>
      </c>
      <c r="L156">
        <f>[1]!'1710.TW-DLOrderValueDiffRatio'</f>
        <v>4.28</v>
      </c>
      <c r="M156" t="str">
        <f>[1]!'1710.TW-ExchangeIndustry'</f>
        <v>上市化學生技醫療,上市化工</v>
      </c>
      <c r="N156" t="str">
        <f>[1]!'1710.TW-Capital'</f>
        <v>88.57</v>
      </c>
      <c r="O156" t="str">
        <f>[1]!'1710.TW-Time'</f>
        <v>10:15:18</v>
      </c>
    </row>
    <row r="157" spans="1:15" x14ac:dyDescent="0.25">
      <c r="A157" t="str">
        <f>[1]!'1711.TW-ID'</f>
        <v>1711</v>
      </c>
      <c r="B157" t="str">
        <f>[1]!'1711.TW-Name'</f>
        <v>永光</v>
      </c>
      <c r="C157">
        <f>[1]!'1711.TW-Price'</f>
        <v>27.3</v>
      </c>
      <c r="D157">
        <f>[1]!'1711.TW-AvgPrice'</f>
        <v>26.91</v>
      </c>
      <c r="E157">
        <f>[1]!'1711.TW-PriceChangeRatio'</f>
        <v>3.02</v>
      </c>
      <c r="F157" t="str">
        <f>[1]!'1711.TW-InOutRatioNumber'</f>
        <v>57.37%</v>
      </c>
      <c r="G157">
        <f>[1]!'1711.TW-PreTotalVolumeRate'</f>
        <v>0.61</v>
      </c>
      <c r="H157">
        <f>[1]!'1711.TW-VolumeRatio'</f>
        <v>1.1499999999999999</v>
      </c>
      <c r="I157">
        <f>[1]!'1711.TW-5DayAvgVol'</f>
        <v>148630</v>
      </c>
      <c r="J157">
        <f>[1]!'1711.TW-DXLOrderOutValueRatio'</f>
        <v>25.32</v>
      </c>
      <c r="K157">
        <f>[1]!'1711.TW-DXLOrderValueDiffRatio'</f>
        <v>5.33</v>
      </c>
      <c r="L157">
        <f>[1]!'1711.TW-DLOrderValueDiffRatio'</f>
        <v>1.72</v>
      </c>
      <c r="M157" t="str">
        <f>[1]!'1711.TW-ExchangeIndustry'</f>
        <v>上市化學生技醫療,上市化工</v>
      </c>
      <c r="N157" t="str">
        <f>[1]!'1711.TW-Capital'</f>
        <v>54.78</v>
      </c>
      <c r="O157" t="str">
        <f>[1]!'1711.TW-Time'</f>
        <v>10:15:19</v>
      </c>
    </row>
    <row r="158" spans="1:15" x14ac:dyDescent="0.25">
      <c r="A158" t="str">
        <f>[1]!'1712.TW-ID'</f>
        <v>1712</v>
      </c>
      <c r="B158" t="str">
        <f>[1]!'1712.TW-Name'</f>
        <v>興農</v>
      </c>
      <c r="C158">
        <f>[1]!'1712.TW-Price'</f>
        <v>24.25</v>
      </c>
      <c r="D158">
        <f>[1]!'1712.TW-AvgPrice'</f>
        <v>24.1</v>
      </c>
      <c r="E158">
        <f>[1]!'1712.TW-PriceChangeRatio'</f>
        <v>1.04</v>
      </c>
      <c r="F158" t="str">
        <f>[1]!'1712.TW-InOutRatioNumber'</f>
        <v>60.96%</v>
      </c>
      <c r="G158">
        <f>[1]!'1712.TW-PreTotalVolumeRate'</f>
        <v>0.5</v>
      </c>
      <c r="H158">
        <f>[1]!'1712.TW-VolumeRatio'</f>
        <v>1.1200000000000001</v>
      </c>
      <c r="I158">
        <f>[1]!'1712.TW-5DayAvgVol'</f>
        <v>1980</v>
      </c>
      <c r="J158">
        <f>[1]!'1712.TW-DXLOrderOutValueRatio'</f>
        <v>6.26</v>
      </c>
      <c r="K158">
        <f>[1]!'1712.TW-DXLOrderValueDiffRatio'</f>
        <v>6.26</v>
      </c>
      <c r="L158">
        <f>[1]!'1712.TW-DLOrderValueDiffRatio'</f>
        <v>-0.16</v>
      </c>
      <c r="M158" t="str">
        <f>[1]!'1712.TW-ExchangeIndustry'</f>
        <v>上市化學生技醫療,上市化工</v>
      </c>
      <c r="N158" t="str">
        <f>[1]!'1712.TW-Capital'</f>
        <v>42.05</v>
      </c>
      <c r="O158" t="str">
        <f>[1]!'1712.TW-Time'</f>
        <v>10:14:37</v>
      </c>
    </row>
    <row r="159" spans="1:15" x14ac:dyDescent="0.25">
      <c r="A159" t="str">
        <f>[1]!'1713.TW-ID'</f>
        <v>1713</v>
      </c>
      <c r="B159" t="str">
        <f>[1]!'1713.TW-Name'</f>
        <v>國化</v>
      </c>
      <c r="C159">
        <f>[1]!'1713.TW-Price'</f>
        <v>24.85</v>
      </c>
      <c r="D159">
        <f>[1]!'1713.TW-AvgPrice'</f>
        <v>24.63</v>
      </c>
      <c r="E159">
        <f>[1]!'1713.TW-PriceChangeRatio'</f>
        <v>0.4</v>
      </c>
      <c r="F159" t="str">
        <f>[1]!'1713.TW-InOutRatioNumber'</f>
        <v>27.37%</v>
      </c>
      <c r="G159">
        <f>[1]!'1713.TW-PreTotalVolumeRate'</f>
        <v>0.27</v>
      </c>
      <c r="H159">
        <f>[1]!'1713.TW-VolumeRatio'</f>
        <v>0.36</v>
      </c>
      <c r="I159">
        <f>[1]!'1713.TW-5DayAvgVol'</f>
        <v>788</v>
      </c>
      <c r="J159">
        <f>[1]!'1713.TW-DXLOrderOutValueRatio'</f>
        <v>0</v>
      </c>
      <c r="K159">
        <f>[1]!'1713.TW-DXLOrderValueDiffRatio'</f>
        <v>-33.369999999999997</v>
      </c>
      <c r="L159">
        <f>[1]!'1713.TW-DLOrderValueDiffRatio'</f>
        <v>0</v>
      </c>
      <c r="M159" t="str">
        <f>[1]!'1713.TW-ExchangeIndustry'</f>
        <v>上市化學生技醫療,上市化工</v>
      </c>
      <c r="N159" t="str">
        <f>[1]!'1713.TW-Capital'</f>
        <v>15.10</v>
      </c>
      <c r="O159" t="str">
        <f>[1]!'1713.TW-Time'</f>
        <v>10:10:15</v>
      </c>
    </row>
    <row r="160" spans="1:15" x14ac:dyDescent="0.25">
      <c r="A160" t="str">
        <f>[1]!'1714.TW-ID'</f>
        <v>1714</v>
      </c>
      <c r="B160" t="str">
        <f>[1]!'1714.TW-Name'</f>
        <v>和桐</v>
      </c>
      <c r="C160">
        <f>[1]!'1714.TW-Price'</f>
        <v>10.7</v>
      </c>
      <c r="D160">
        <f>[1]!'1714.TW-AvgPrice'</f>
        <v>10.64</v>
      </c>
      <c r="E160">
        <f>[1]!'1714.TW-PriceChangeRatio'</f>
        <v>2.88</v>
      </c>
      <c r="F160" t="str">
        <f>[1]!'1714.TW-InOutRatioNumber'</f>
        <v>71.74%</v>
      </c>
      <c r="G160">
        <f>[1]!'1714.TW-PreTotalVolumeRate'</f>
        <v>0.51</v>
      </c>
      <c r="H160">
        <f>[1]!'1714.TW-VolumeRatio'</f>
        <v>0.86</v>
      </c>
      <c r="I160">
        <f>[1]!'1714.TW-5DayAvgVol'</f>
        <v>10455</v>
      </c>
      <c r="J160">
        <f>[1]!'1714.TW-DXLOrderOutValueRatio'</f>
        <v>23.7</v>
      </c>
      <c r="K160">
        <f>[1]!'1714.TW-DXLOrderValueDiffRatio'</f>
        <v>15.92</v>
      </c>
      <c r="L160">
        <f>[1]!'1714.TW-DLOrderValueDiffRatio'</f>
        <v>0.2</v>
      </c>
      <c r="M160" t="str">
        <f>[1]!'1714.TW-ExchangeIndustry'</f>
        <v>上市化學生技醫療,上市化工</v>
      </c>
      <c r="N160" t="str">
        <f>[1]!'1714.TW-Capital'</f>
        <v>101.68</v>
      </c>
      <c r="O160" t="str">
        <f>[1]!'1714.TW-Time'</f>
        <v>10:15:09</v>
      </c>
    </row>
    <row r="161" spans="1:15" x14ac:dyDescent="0.25">
      <c r="A161" t="str">
        <f>[1]!'1717.TW-ID'</f>
        <v>1717</v>
      </c>
      <c r="B161" t="str">
        <f>[1]!'1717.TW-Name'</f>
        <v>長興</v>
      </c>
      <c r="C161">
        <f>[1]!'1717.TW-Price'</f>
        <v>37.950000000000003</v>
      </c>
      <c r="D161">
        <f>[1]!'1717.TW-AvgPrice'</f>
        <v>37.799999999999997</v>
      </c>
      <c r="E161">
        <f>[1]!'1717.TW-PriceChangeRatio'</f>
        <v>3.55</v>
      </c>
      <c r="F161" t="str">
        <f>[1]!'1717.TW-InOutRatioNumber'</f>
        <v>59.76%</v>
      </c>
      <c r="G161">
        <f>[1]!'1717.TW-PreTotalVolumeRate'</f>
        <v>3.19</v>
      </c>
      <c r="H161">
        <f>[1]!'1717.TW-VolumeRatio'</f>
        <v>7.49</v>
      </c>
      <c r="I161">
        <f>[1]!'1717.TW-5DayAvgVol'</f>
        <v>2796</v>
      </c>
      <c r="J161">
        <f>[1]!'1717.TW-DXLOrderOutValueRatio'</f>
        <v>19.260000000000002</v>
      </c>
      <c r="K161">
        <f>[1]!'1717.TW-DXLOrderValueDiffRatio'</f>
        <v>6.71</v>
      </c>
      <c r="L161">
        <f>[1]!'1717.TW-DLOrderValueDiffRatio'</f>
        <v>0.01</v>
      </c>
      <c r="M161" t="str">
        <f>[1]!'1717.TW-ExchangeIndustry'</f>
        <v>上市化學生技醫療,上市化工</v>
      </c>
      <c r="N161" t="str">
        <f>[1]!'1717.TW-Capital'</f>
        <v>124.03</v>
      </c>
      <c r="O161" t="str">
        <f>[1]!'1717.TW-Time'</f>
        <v>10:15:18</v>
      </c>
    </row>
    <row r="162" spans="1:15" x14ac:dyDescent="0.25">
      <c r="A162" t="str">
        <f>[1]!'1718.TW-ID'</f>
        <v>1718</v>
      </c>
      <c r="B162" t="str">
        <f>[1]!'1718.TW-Name'</f>
        <v>中纖</v>
      </c>
      <c r="C162">
        <f>[1]!'1718.TW-Price'</f>
        <v>11.25</v>
      </c>
      <c r="D162">
        <f>[1]!'1718.TW-AvgPrice'</f>
        <v>11.12</v>
      </c>
      <c r="E162">
        <f>[1]!'1718.TW-PriceChangeRatio'</f>
        <v>8.17</v>
      </c>
      <c r="F162" t="str">
        <f>[1]!'1718.TW-InOutRatioNumber'</f>
        <v>79.81%</v>
      </c>
      <c r="G162">
        <f>[1]!'1718.TW-PreTotalVolumeRate'</f>
        <v>13.27</v>
      </c>
      <c r="H162">
        <f>[1]!'1718.TW-VolumeRatio'</f>
        <v>26.68</v>
      </c>
      <c r="I162">
        <f>[1]!'1718.TW-5DayAvgVol'</f>
        <v>10495</v>
      </c>
      <c r="J162">
        <f>[1]!'1718.TW-DXLOrderOutValueRatio'</f>
        <v>55.65</v>
      </c>
      <c r="K162">
        <f>[1]!'1718.TW-DXLOrderValueDiffRatio'</f>
        <v>47.63</v>
      </c>
      <c r="L162">
        <f>[1]!'1718.TW-DLOrderValueDiffRatio'</f>
        <v>4.7699999999999996</v>
      </c>
      <c r="M162" t="str">
        <f>[1]!'1718.TW-ExchangeIndustry'</f>
        <v>上市化學生技醫療,上市化工</v>
      </c>
      <c r="N162" t="str">
        <f>[1]!'1718.TW-Capital'</f>
        <v>162.14</v>
      </c>
      <c r="O162" t="str">
        <f>[1]!'1718.TW-Time'</f>
        <v>10:15:19</v>
      </c>
    </row>
    <row r="163" spans="1:15" x14ac:dyDescent="0.25">
      <c r="A163" t="str">
        <f>[1]!'1721.TW-ID'</f>
        <v>1721</v>
      </c>
      <c r="B163" t="str">
        <f>[1]!'1721.TW-Name'</f>
        <v>三晃</v>
      </c>
      <c r="C163">
        <f>[1]!'1721.TW-Price'</f>
        <v>17.95</v>
      </c>
      <c r="D163">
        <f>[1]!'1721.TW-AvgPrice'</f>
        <v>17.75</v>
      </c>
      <c r="E163">
        <f>[1]!'1721.TW-PriceChangeRatio'</f>
        <v>8.4600000000000009</v>
      </c>
      <c r="F163" t="str">
        <f>[1]!'1721.TW-InOutRatioNumber'</f>
        <v>85.21%</v>
      </c>
      <c r="G163">
        <f>[1]!'1721.TW-PreTotalVolumeRate'</f>
        <v>0.16</v>
      </c>
      <c r="H163">
        <f>[1]!'1721.TW-VolumeRatio'</f>
        <v>0.32</v>
      </c>
      <c r="I163">
        <f>[1]!'1721.TW-5DayAvgVol'</f>
        <v>34738</v>
      </c>
      <c r="J163">
        <f>[1]!'1721.TW-DXLOrderOutValueRatio'</f>
        <v>0</v>
      </c>
      <c r="K163">
        <f>[1]!'1721.TW-DXLOrderValueDiffRatio'</f>
        <v>0</v>
      </c>
      <c r="L163">
        <f>[1]!'1721.TW-DLOrderValueDiffRatio'</f>
        <v>0</v>
      </c>
      <c r="M163" t="str">
        <f>[1]!'1721.TW-ExchangeIndustry'</f>
        <v>上市化學生技醫療,上市化工</v>
      </c>
      <c r="N163" t="str">
        <f>[1]!'1721.TW-Capital'</f>
        <v>18.90</v>
      </c>
      <c r="O163" t="str">
        <f>[1]!'1721.TW-Time'</f>
        <v>10:15:04</v>
      </c>
    </row>
    <row r="164" spans="1:15" x14ac:dyDescent="0.25">
      <c r="A164" t="str">
        <f>[1]!'1722.TW-ID'</f>
        <v>1722</v>
      </c>
      <c r="B164" t="str">
        <f>[1]!'1722.TW-Name'</f>
        <v>台肥</v>
      </c>
      <c r="C164">
        <f>[1]!'1722.TW-Price'</f>
        <v>67</v>
      </c>
      <c r="D164">
        <f>[1]!'1722.TW-AvgPrice'</f>
        <v>67.45</v>
      </c>
      <c r="E164">
        <f>[1]!'1722.TW-PriceChangeRatio'</f>
        <v>-0.74</v>
      </c>
      <c r="F164" t="str">
        <f>[1]!'1722.TW-InOutRatioNumber'</f>
        <v>34.06%</v>
      </c>
      <c r="G164">
        <f>[1]!'1722.TW-PreTotalVolumeRate'</f>
        <v>0.28000000000000003</v>
      </c>
      <c r="H164">
        <f>[1]!'1722.TW-VolumeRatio'</f>
        <v>0.54</v>
      </c>
      <c r="I164">
        <f>[1]!'1722.TW-5DayAvgVol'</f>
        <v>8675</v>
      </c>
      <c r="J164">
        <f>[1]!'1722.TW-DXLOrderOutValueRatio'</f>
        <v>7.25</v>
      </c>
      <c r="K164">
        <f>[1]!'1722.TW-DXLOrderValueDiffRatio'</f>
        <v>-21.47</v>
      </c>
      <c r="L164">
        <f>[1]!'1722.TW-DLOrderValueDiffRatio'</f>
        <v>1.42</v>
      </c>
      <c r="M164" t="str">
        <f>[1]!'1722.TW-ExchangeIndustry'</f>
        <v>上市化學生技醫療,上市化工</v>
      </c>
      <c r="N164" t="str">
        <f>[1]!'1722.TW-Capital'</f>
        <v>98.00</v>
      </c>
      <c r="O164" t="str">
        <f>[1]!'1722.TW-Time'</f>
        <v>10:15:10</v>
      </c>
    </row>
    <row r="165" spans="1:15" x14ac:dyDescent="0.25">
      <c r="A165" t="str">
        <f>[1]!'1723.TW-ID'</f>
        <v>1723</v>
      </c>
      <c r="B165" t="str">
        <f>[1]!'1723.TW-Name'</f>
        <v>中碳</v>
      </c>
      <c r="C165">
        <f>[1]!'1723.TW-Price'</f>
        <v>119.5</v>
      </c>
      <c r="D165">
        <f>[1]!'1723.TW-AvgPrice'</f>
        <v>120.02</v>
      </c>
      <c r="E165">
        <f>[1]!'1723.TW-PriceChangeRatio'</f>
        <v>-0.42</v>
      </c>
      <c r="F165" t="str">
        <f>[1]!'1723.TW-InOutRatioNumber'</f>
        <v>29.00%</v>
      </c>
      <c r="G165">
        <f>[1]!'1723.TW-PreTotalVolumeRate'</f>
        <v>0.18</v>
      </c>
      <c r="H165">
        <f>[1]!'1723.TW-VolumeRatio'</f>
        <v>0.35</v>
      </c>
      <c r="I165">
        <f>[1]!'1723.TW-5DayAvgVol'</f>
        <v>2081</v>
      </c>
      <c r="J165">
        <f>[1]!'1723.TW-DXLOrderOutValueRatio'</f>
        <v>0</v>
      </c>
      <c r="K165">
        <f>[1]!'1723.TW-DXLOrderValueDiffRatio'</f>
        <v>-18.05</v>
      </c>
      <c r="L165">
        <f>[1]!'1723.TW-DLOrderValueDiffRatio'</f>
        <v>-10.37</v>
      </c>
      <c r="M165" t="str">
        <f>[1]!'1723.TW-ExchangeIndustry'</f>
        <v>上市化學生技醫療,上市化工</v>
      </c>
      <c r="N165" t="str">
        <f>[1]!'1723.TW-Capital'</f>
        <v>23.69</v>
      </c>
      <c r="O165" t="str">
        <f>[1]!'1723.TW-Time'</f>
        <v>10:14:51</v>
      </c>
    </row>
    <row r="166" spans="1:15" x14ac:dyDescent="0.25">
      <c r="A166" t="str">
        <f>[1]!'1724.TW-ID'</f>
        <v>1724</v>
      </c>
      <c r="B166" t="str">
        <f>[1]!'1724.TW-Name'</f>
        <v>台硝</v>
      </c>
      <c r="C166">
        <f>[1]!'1724.TW-Price'</f>
        <v>15.65</v>
      </c>
      <c r="D166">
        <f>[1]!'1724.TW-AvgPrice'</f>
        <v>15.62</v>
      </c>
      <c r="E166">
        <f>[1]!'1724.TW-PriceChangeRatio'</f>
        <v>0.32</v>
      </c>
      <c r="F166" t="str">
        <f>[1]!'1724.TW-InOutRatioNumber'</f>
        <v>33.33%</v>
      </c>
      <c r="G166">
        <f>[1]!'1724.TW-PreTotalVolumeRate'</f>
        <v>0.03</v>
      </c>
      <c r="H166">
        <f>[1]!'1724.TW-VolumeRatio'</f>
        <v>0.15</v>
      </c>
      <c r="I166">
        <f>[1]!'1724.TW-5DayAvgVol'</f>
        <v>131</v>
      </c>
      <c r="J166">
        <f>[1]!'1724.TW-DXLOrderOutValueRatio'</f>
        <v>0</v>
      </c>
      <c r="K166">
        <f>[1]!'1724.TW-DXLOrderValueDiffRatio'</f>
        <v>0</v>
      </c>
      <c r="L166">
        <f>[1]!'1724.TW-DLOrderValueDiffRatio'</f>
        <v>0</v>
      </c>
      <c r="M166" t="str">
        <f>[1]!'1724.TW-ExchangeIndustry'</f>
        <v>上市化學生技醫療,上市化工</v>
      </c>
      <c r="N166" t="str">
        <f>[1]!'1724.TW-Capital'</f>
        <v>12.78</v>
      </c>
      <c r="O166" t="str">
        <f>[1]!'1724.TW-Time'</f>
        <v>10:11:59</v>
      </c>
    </row>
    <row r="167" spans="1:15" x14ac:dyDescent="0.25">
      <c r="A167" t="str">
        <f>[1]!'1725.TW-ID'</f>
        <v>1725</v>
      </c>
      <c r="B167" t="str">
        <f>[1]!'1725.TW-Name'</f>
        <v>元禎</v>
      </c>
      <c r="C167">
        <f>[1]!'1725.TW-Price'</f>
        <v>27.95</v>
      </c>
      <c r="D167">
        <f>[1]!'1725.TW-AvgPrice'</f>
        <v>26.99</v>
      </c>
      <c r="E167">
        <f>[1]!'1725.TW-PriceChangeRatio'</f>
        <v>9.82</v>
      </c>
      <c r="F167" t="str">
        <f>[1]!'1725.TW-InOutRatioNumber'</f>
        <v>67.14%</v>
      </c>
      <c r="G167">
        <f>[1]!'1725.TW-PreTotalVolumeRate'</f>
        <v>0.46</v>
      </c>
      <c r="H167">
        <f>[1]!'1725.TW-VolumeRatio'</f>
        <v>1.28</v>
      </c>
      <c r="I167">
        <f>[1]!'1725.TW-5DayAvgVol'</f>
        <v>896</v>
      </c>
      <c r="J167">
        <f>[1]!'1725.TW-DXLOrderOutValueRatio'</f>
        <v>9.24</v>
      </c>
      <c r="K167">
        <f>[1]!'1725.TW-DXLOrderValueDiffRatio'</f>
        <v>9.24</v>
      </c>
      <c r="L167">
        <f>[1]!'1725.TW-DLOrderValueDiffRatio'</f>
        <v>13.73</v>
      </c>
      <c r="M167" t="str">
        <f>[1]!'1725.TW-ExchangeIndustry'</f>
        <v>上市化學生技醫療,上市化工</v>
      </c>
      <c r="N167" t="str">
        <f>[1]!'1725.TW-Capital'</f>
        <v>18.18</v>
      </c>
      <c r="O167" t="str">
        <f>[1]!'1725.TW-Time'</f>
        <v>10:14:17</v>
      </c>
    </row>
    <row r="168" spans="1:15" x14ac:dyDescent="0.25">
      <c r="A168" t="str">
        <f>[1]!'1726.TW-ID'</f>
        <v>1726</v>
      </c>
      <c r="B168" t="str">
        <f>[1]!'1726.TW-Name'</f>
        <v>永記</v>
      </c>
      <c r="C168">
        <f>[1]!'1726.TW-Price'</f>
        <v>72.599999999999994</v>
      </c>
      <c r="D168">
        <f>[1]!'1726.TW-AvgPrice'</f>
        <v>72.650000000000006</v>
      </c>
      <c r="E168">
        <f>[1]!'1726.TW-PriceChangeRatio'</f>
        <v>0.14000000000000001</v>
      </c>
      <c r="F168" t="str">
        <f>[1]!'1726.TW-InOutRatioNumber'</f>
        <v>25.00%</v>
      </c>
      <c r="G168">
        <f>[1]!'1726.TW-PreTotalVolumeRate'</f>
        <v>0.11</v>
      </c>
      <c r="H168">
        <f>[1]!'1726.TW-VolumeRatio'</f>
        <v>0</v>
      </c>
      <c r="I168">
        <f>[1]!'1726.TW-5DayAvgVol'</f>
        <v>15</v>
      </c>
      <c r="J168">
        <f>[1]!'1726.TW-DXLOrderOutValueRatio'</f>
        <v>0</v>
      </c>
      <c r="K168">
        <f>[1]!'1726.TW-DXLOrderValueDiffRatio'</f>
        <v>0</v>
      </c>
      <c r="L168">
        <f>[1]!'1726.TW-DLOrderValueDiffRatio'</f>
        <v>0</v>
      </c>
      <c r="M168" t="str">
        <f>[1]!'1726.TW-ExchangeIndustry'</f>
        <v>上市化學生技醫療,上市化工</v>
      </c>
      <c r="N168" t="str">
        <f>[1]!'1726.TW-Capital'</f>
        <v>16.20</v>
      </c>
      <c r="O168" t="str">
        <f>[1]!'1726.TW-Time'</f>
        <v>09:43:26</v>
      </c>
    </row>
    <row r="169" spans="1:15" x14ac:dyDescent="0.25">
      <c r="A169" t="str">
        <f>[1]!'1727.TW-ID'</f>
        <v>1727</v>
      </c>
      <c r="B169" t="str">
        <f>[1]!'1727.TW-Name'</f>
        <v>中華化</v>
      </c>
      <c r="C169">
        <f>[1]!'1727.TW-Price'</f>
        <v>43.55</v>
      </c>
      <c r="D169">
        <f>[1]!'1727.TW-AvgPrice'</f>
        <v>42.57</v>
      </c>
      <c r="E169">
        <f>[1]!'1727.TW-PriceChangeRatio'</f>
        <v>9.9700000000000006</v>
      </c>
      <c r="F169" t="str">
        <f>[1]!'1727.TW-InOutRatioNumber'</f>
        <v>62.21%</v>
      </c>
      <c r="G169">
        <f>[1]!'1727.TW-PreTotalVolumeRate'</f>
        <v>0.78</v>
      </c>
      <c r="H169">
        <f>[1]!'1727.TW-VolumeRatio'</f>
        <v>1.22</v>
      </c>
      <c r="I169">
        <f>[1]!'1727.TW-5DayAvgVol'</f>
        <v>63777</v>
      </c>
      <c r="J169">
        <f>[1]!'1727.TW-DXLOrderOutValueRatio'</f>
        <v>25.8</v>
      </c>
      <c r="K169">
        <f>[1]!'1727.TW-DXLOrderValueDiffRatio'</f>
        <v>14.07</v>
      </c>
      <c r="L169">
        <f>[1]!'1727.TW-DLOrderValueDiffRatio'</f>
        <v>0.99</v>
      </c>
      <c r="M169" t="str">
        <f>[1]!'1727.TW-ExchangeIndustry'</f>
        <v>上市化學生技醫療,上市化工</v>
      </c>
      <c r="N169" t="str">
        <f>[1]!'1727.TW-Capital'</f>
        <v>10.83</v>
      </c>
      <c r="O169" t="str">
        <f>[1]!'1727.TW-Time'</f>
        <v>10:15:17</v>
      </c>
    </row>
    <row r="170" spans="1:15" x14ac:dyDescent="0.25">
      <c r="A170" t="str">
        <f>[1]!'1730.TW-ID'</f>
        <v>1730</v>
      </c>
      <c r="B170" t="str">
        <f>[1]!'1730.TW-Name'</f>
        <v>花仙子</v>
      </c>
      <c r="C170">
        <f>[1]!'1730.TW-Price'</f>
        <v>63.5</v>
      </c>
      <c r="D170">
        <f>[1]!'1730.TW-AvgPrice'</f>
        <v>63.55</v>
      </c>
      <c r="E170">
        <f>[1]!'1730.TW-PriceChangeRatio'</f>
        <v>0.16</v>
      </c>
      <c r="F170" t="str">
        <f>[1]!'1730.TW-InOutRatioNumber'</f>
        <v>50.00%</v>
      </c>
      <c r="G170">
        <f>[1]!'1730.TW-PreTotalVolumeRate'</f>
        <v>0.08</v>
      </c>
      <c r="H170">
        <f>[1]!'1730.TW-VolumeRatio'</f>
        <v>0</v>
      </c>
      <c r="I170">
        <f>[1]!'1730.TW-5DayAvgVol'</f>
        <v>23</v>
      </c>
      <c r="J170">
        <f>[1]!'1730.TW-DXLOrderOutValueRatio'</f>
        <v>0</v>
      </c>
      <c r="K170">
        <f>[1]!'1730.TW-DXLOrderValueDiffRatio'</f>
        <v>0</v>
      </c>
      <c r="L170">
        <f>[1]!'1730.TW-DLOrderValueDiffRatio'</f>
        <v>0</v>
      </c>
      <c r="M170" t="str">
        <f>[1]!'1730.TW-ExchangeIndustry'</f>
        <v>上市化學生技醫療,上市化工</v>
      </c>
      <c r="N170" t="str">
        <f>[1]!'1730.TW-Capital'</f>
        <v>6.32</v>
      </c>
      <c r="O170" t="str">
        <f>[1]!'1730.TW-Time'</f>
        <v>09:20:29</v>
      </c>
    </row>
    <row r="171" spans="1:15" x14ac:dyDescent="0.25">
      <c r="A171" t="str">
        <f>[1]!'1732.TW-ID'</f>
        <v>1732</v>
      </c>
      <c r="B171" t="str">
        <f>[1]!'1732.TW-Name'</f>
        <v>毛寶</v>
      </c>
      <c r="C171">
        <f>[1]!'1732.TW-Price'</f>
        <v>24.7</v>
      </c>
      <c r="D171">
        <f>[1]!'1732.TW-AvgPrice'</f>
        <v>24.62</v>
      </c>
      <c r="E171">
        <f>[1]!'1732.TW-PriceChangeRatio'</f>
        <v>0</v>
      </c>
      <c r="F171" t="str">
        <f>[1]!'1732.TW-InOutRatioNumber'</f>
        <v>55.17%</v>
      </c>
      <c r="G171">
        <f>[1]!'1732.TW-PreTotalVolumeRate'</f>
        <v>0.17</v>
      </c>
      <c r="H171">
        <f>[1]!'1732.TW-VolumeRatio'</f>
        <v>0.52</v>
      </c>
      <c r="I171">
        <f>[1]!'1732.TW-5DayAvgVol'</f>
        <v>262</v>
      </c>
      <c r="J171">
        <f>[1]!'1732.TW-DXLOrderOutValueRatio'</f>
        <v>0</v>
      </c>
      <c r="K171">
        <f>[1]!'1732.TW-DXLOrderValueDiffRatio'</f>
        <v>0</v>
      </c>
      <c r="L171">
        <f>[1]!'1732.TW-DLOrderValueDiffRatio'</f>
        <v>0</v>
      </c>
      <c r="M171" t="str">
        <f>[1]!'1732.TW-ExchangeIndustry'</f>
        <v>上市化學生技醫療,上市化工</v>
      </c>
      <c r="N171" t="str">
        <f>[1]!'1732.TW-Capital'</f>
        <v>4.24</v>
      </c>
      <c r="O171" t="str">
        <f>[1]!'1732.TW-Time'</f>
        <v>10:14:42</v>
      </c>
    </row>
    <row r="172" spans="1:15" x14ac:dyDescent="0.25">
      <c r="A172" t="str">
        <f>[1]!'1735.TW-ID'</f>
        <v>1735</v>
      </c>
      <c r="B172" t="str">
        <f>[1]!'1735.TW-Name'</f>
        <v>日勝化</v>
      </c>
      <c r="C172">
        <f>[1]!'1735.TW-Price'</f>
        <v>18.149999999999999</v>
      </c>
      <c r="D172">
        <f>[1]!'1735.TW-AvgPrice'</f>
        <v>18.149999999999999</v>
      </c>
      <c r="E172">
        <f>[1]!'1735.TW-PriceChangeRatio'</f>
        <v>1.4</v>
      </c>
      <c r="F172" t="str">
        <f>[1]!'1735.TW-InOutRatioNumber'</f>
        <v>100.00%</v>
      </c>
      <c r="G172">
        <f>[1]!'1735.TW-PreTotalVolumeRate'</f>
        <v>0.17</v>
      </c>
      <c r="H172">
        <f>[1]!'1735.TW-VolumeRatio'</f>
        <v>0</v>
      </c>
      <c r="I172">
        <f>[1]!'1735.TW-5DayAvgVol'</f>
        <v>5</v>
      </c>
      <c r="J172">
        <f>[1]!'1735.TW-DXLOrderOutValueRatio'</f>
        <v>0</v>
      </c>
      <c r="K172">
        <f>[1]!'1735.TW-DXLOrderValueDiffRatio'</f>
        <v>0</v>
      </c>
      <c r="L172">
        <f>[1]!'1735.TW-DLOrderValueDiffRatio'</f>
        <v>0</v>
      </c>
      <c r="M172" t="str">
        <f>[1]!'1735.TW-ExchangeIndustry'</f>
        <v>上市化學生技醫療,上市化工</v>
      </c>
      <c r="N172" t="str">
        <f>[1]!'1735.TW-Capital'</f>
        <v>9.94</v>
      </c>
      <c r="O172" t="str">
        <f>[1]!'1735.TW-Time'</f>
        <v>10:11:08</v>
      </c>
    </row>
    <row r="173" spans="1:15" x14ac:dyDescent="0.25">
      <c r="A173" t="str">
        <f>[1]!'1773.TW-ID'</f>
        <v>1773</v>
      </c>
      <c r="B173" t="str">
        <f>[1]!'1773.TW-Name'</f>
        <v>勝一</v>
      </c>
      <c r="C173">
        <f>[1]!'1773.TW-Price'</f>
        <v>132.5</v>
      </c>
      <c r="D173">
        <f>[1]!'1773.TW-AvgPrice'</f>
        <v>132.9</v>
      </c>
      <c r="E173">
        <f>[1]!'1773.TW-PriceChangeRatio'</f>
        <v>-1.1200000000000001</v>
      </c>
      <c r="F173" t="str">
        <f>[1]!'1773.TW-InOutRatioNumber'</f>
        <v>36.84%</v>
      </c>
      <c r="G173">
        <f>[1]!'1773.TW-PreTotalVolumeRate'</f>
        <v>0.32</v>
      </c>
      <c r="H173">
        <f>[1]!'1773.TW-VolumeRatio'</f>
        <v>0.73</v>
      </c>
      <c r="I173">
        <f>[1]!'1773.TW-5DayAvgVol'</f>
        <v>275</v>
      </c>
      <c r="J173">
        <f>[1]!'1773.TW-DXLOrderOutValueRatio'</f>
        <v>0</v>
      </c>
      <c r="K173">
        <f>[1]!'1773.TW-DXLOrderValueDiffRatio'</f>
        <v>0</v>
      </c>
      <c r="L173">
        <f>[1]!'1773.TW-DLOrderValueDiffRatio'</f>
        <v>13.88</v>
      </c>
      <c r="M173" t="str">
        <f>[1]!'1773.TW-ExchangeIndustry'</f>
        <v>上市化學生技醫療,上市化工</v>
      </c>
      <c r="N173" t="str">
        <f>[1]!'1773.TW-Capital'</f>
        <v>20.00</v>
      </c>
      <c r="O173" t="str">
        <f>[1]!'1773.TW-Time'</f>
        <v>10:14:29</v>
      </c>
    </row>
    <row r="174" spans="1:15" x14ac:dyDescent="0.25">
      <c r="A174" t="str">
        <f>[1]!'1776.TW-ID'</f>
        <v>1776</v>
      </c>
      <c r="B174" t="str">
        <f>[1]!'1776.TW-Name'</f>
        <v>展宇</v>
      </c>
      <c r="C174">
        <f>[1]!'1776.TW-Price'</f>
        <v>24.8</v>
      </c>
      <c r="D174">
        <f>[1]!'1776.TW-AvgPrice'</f>
        <v>24.36</v>
      </c>
      <c r="E174">
        <f>[1]!'1776.TW-PriceChangeRatio'</f>
        <v>5.98</v>
      </c>
      <c r="F174" t="str">
        <f>[1]!'1776.TW-InOutRatioNumber'</f>
        <v>66.71%</v>
      </c>
      <c r="G174">
        <f>[1]!'1776.TW-PreTotalVolumeRate'</f>
        <v>0.65</v>
      </c>
      <c r="H174">
        <f>[1]!'1776.TW-VolumeRatio'</f>
        <v>1.18</v>
      </c>
      <c r="I174">
        <f>[1]!'1776.TW-5DayAvgVol'</f>
        <v>1898</v>
      </c>
      <c r="J174">
        <f>[1]!'1776.TW-DXLOrderOutValueRatio'</f>
        <v>0</v>
      </c>
      <c r="K174">
        <f>[1]!'1776.TW-DXLOrderValueDiffRatio'</f>
        <v>0</v>
      </c>
      <c r="L174">
        <f>[1]!'1776.TW-DLOrderValueDiffRatio'</f>
        <v>4.87</v>
      </c>
      <c r="M174" t="str">
        <f>[1]!'1776.TW-ExchangeIndustry'</f>
        <v>上市化學生技醫療,上市化工</v>
      </c>
      <c r="N174" t="str">
        <f>[1]!'1776.TW-Capital'</f>
        <v>7.03</v>
      </c>
      <c r="O174" t="str">
        <f>[1]!'1776.TW-Time'</f>
        <v>10:15:18</v>
      </c>
    </row>
    <row r="175" spans="1:15" x14ac:dyDescent="0.25">
      <c r="A175" t="str">
        <f>[1]!'3708.TW-ID'</f>
        <v>3708</v>
      </c>
      <c r="B175" t="str">
        <f>[1]!'3708.TW-Name'</f>
        <v>上緯投控</v>
      </c>
      <c r="C175">
        <f>[1]!'3708.TW-Price'</f>
        <v>105.5</v>
      </c>
      <c r="D175">
        <f>[1]!'3708.TW-AvgPrice'</f>
        <v>106.6</v>
      </c>
      <c r="E175">
        <f>[1]!'3708.TW-PriceChangeRatio'</f>
        <v>0</v>
      </c>
      <c r="F175" t="str">
        <f>[1]!'3708.TW-InOutRatioNumber'</f>
        <v>45.97%</v>
      </c>
      <c r="G175">
        <f>[1]!'3708.TW-PreTotalVolumeRate'</f>
        <v>0.25</v>
      </c>
      <c r="H175">
        <f>[1]!'3708.TW-VolumeRatio'</f>
        <v>0.47</v>
      </c>
      <c r="I175">
        <f>[1]!'3708.TW-5DayAvgVol'</f>
        <v>8495</v>
      </c>
      <c r="J175">
        <f>[1]!'3708.TW-DXLOrderOutValueRatio'</f>
        <v>7.87</v>
      </c>
      <c r="K175">
        <f>[1]!'3708.TW-DXLOrderValueDiffRatio'</f>
        <v>-7.15</v>
      </c>
      <c r="L175">
        <f>[1]!'3708.TW-DLOrderValueDiffRatio'</f>
        <v>-2.0099999999999998</v>
      </c>
      <c r="M175" t="str">
        <f>[1]!'3708.TW-ExchangeIndustry'</f>
        <v>上市化學生技醫療,上市化工</v>
      </c>
      <c r="N175" t="str">
        <f>[1]!'3708.TW-Capital'</f>
        <v>9.35</v>
      </c>
      <c r="O175" t="str">
        <f>[1]!'3708.TW-Time'</f>
        <v>10:15:15</v>
      </c>
    </row>
    <row r="176" spans="1:15" x14ac:dyDescent="0.25">
      <c r="A176" t="str">
        <f>[1]!'4720.TW-ID'</f>
        <v>4720</v>
      </c>
      <c r="B176" t="str">
        <f>[1]!'4720.TW-Name'</f>
        <v>德淵</v>
      </c>
      <c r="C176">
        <f>[1]!'4720.TW-Price'</f>
        <v>14.8</v>
      </c>
      <c r="D176">
        <f>[1]!'4720.TW-AvgPrice'</f>
        <v>14.67</v>
      </c>
      <c r="E176">
        <f>[1]!'4720.TW-PriceChangeRatio'</f>
        <v>0</v>
      </c>
      <c r="F176" t="str">
        <f>[1]!'4720.TW-InOutRatioNumber'</f>
        <v>34.62%</v>
      </c>
      <c r="G176">
        <f>[1]!'4720.TW-PreTotalVolumeRate'</f>
        <v>0.17</v>
      </c>
      <c r="H176">
        <f>[1]!'4720.TW-VolumeRatio'</f>
        <v>0.26</v>
      </c>
      <c r="I176">
        <f>[1]!'4720.TW-5DayAvgVol'</f>
        <v>2052</v>
      </c>
      <c r="J176">
        <f>[1]!'4720.TW-DXLOrderOutValueRatio'</f>
        <v>0</v>
      </c>
      <c r="K176">
        <f>[1]!'4720.TW-DXLOrderValueDiffRatio'</f>
        <v>0</v>
      </c>
      <c r="L176">
        <f>[1]!'4720.TW-DLOrderValueDiffRatio'</f>
        <v>0</v>
      </c>
      <c r="M176" t="str">
        <f>[1]!'4720.TW-ExchangeIndustry'</f>
        <v>上市化學生技醫療,上市化工</v>
      </c>
      <c r="N176" t="str">
        <f>[1]!'4720.TW-Capital'</f>
        <v>9.79</v>
      </c>
      <c r="O176" t="str">
        <f>[1]!'4720.TW-Time'</f>
        <v>10:14:59</v>
      </c>
    </row>
    <row r="177" spans="1:15" x14ac:dyDescent="0.25">
      <c r="A177" t="str">
        <f>[1]!'4722.TW-ID'</f>
        <v>4722</v>
      </c>
      <c r="B177" t="str">
        <f>[1]!'4722.TW-Name'</f>
        <v>國精化</v>
      </c>
      <c r="C177">
        <f>[1]!'4722.TW-Price'</f>
        <v>40.549999999999997</v>
      </c>
      <c r="D177">
        <f>[1]!'4722.TW-AvgPrice'</f>
        <v>40.07</v>
      </c>
      <c r="E177">
        <f>[1]!'4722.TW-PriceChangeRatio'</f>
        <v>1.88</v>
      </c>
      <c r="F177" t="str">
        <f>[1]!'4722.TW-InOutRatioNumber'</f>
        <v>38.62%</v>
      </c>
      <c r="G177">
        <f>[1]!'4722.TW-PreTotalVolumeRate'</f>
        <v>0.4</v>
      </c>
      <c r="H177">
        <f>[1]!'4722.TW-VolumeRatio'</f>
        <v>0.83</v>
      </c>
      <c r="I177">
        <f>[1]!'4722.TW-5DayAvgVol'</f>
        <v>1678</v>
      </c>
      <c r="J177">
        <f>[1]!'4722.TW-DXLOrderOutValueRatio'</f>
        <v>5.2</v>
      </c>
      <c r="K177">
        <f>[1]!'4722.TW-DXLOrderValueDiffRatio'</f>
        <v>-18.04</v>
      </c>
      <c r="L177">
        <f>[1]!'4722.TW-DLOrderValueDiffRatio'</f>
        <v>-4.8</v>
      </c>
      <c r="M177" t="str">
        <f>[1]!'4722.TW-ExchangeIndustry'</f>
        <v>上市化學生技醫療,上市化工</v>
      </c>
      <c r="N177" t="str">
        <f>[1]!'4722.TW-Capital'</f>
        <v>10.00</v>
      </c>
      <c r="O177" t="str">
        <f>[1]!'4722.TW-Time'</f>
        <v>10:14:11</v>
      </c>
    </row>
    <row r="178" spans="1:15" x14ac:dyDescent="0.25">
      <c r="A178" t="str">
        <f>[1]!'4739.TW-ID'</f>
        <v>4739</v>
      </c>
      <c r="B178" t="str">
        <f>[1]!'4739.TW-Name'</f>
        <v>康普</v>
      </c>
      <c r="C178">
        <f>[1]!'4739.TW-Price'</f>
        <v>124</v>
      </c>
      <c r="D178">
        <f>[1]!'4739.TW-AvgPrice'</f>
        <v>123.56</v>
      </c>
      <c r="E178">
        <f>[1]!'4739.TW-PriceChangeRatio'</f>
        <v>0.81</v>
      </c>
      <c r="F178" t="str">
        <f>[1]!'4739.TW-InOutRatioNumber'</f>
        <v>43.73%</v>
      </c>
      <c r="G178">
        <f>[1]!'4739.TW-PreTotalVolumeRate'</f>
        <v>0.43</v>
      </c>
      <c r="H178">
        <f>[1]!'4739.TW-VolumeRatio'</f>
        <v>0.79</v>
      </c>
      <c r="I178">
        <f>[1]!'4739.TW-5DayAvgVol'</f>
        <v>17575</v>
      </c>
      <c r="J178">
        <f>[1]!'4739.TW-DXLOrderOutValueRatio'</f>
        <v>17.55</v>
      </c>
      <c r="K178">
        <f>[1]!'4739.TW-DXLOrderValueDiffRatio'</f>
        <v>-9.85</v>
      </c>
      <c r="L178">
        <f>[1]!'4739.TW-DLOrderValueDiffRatio'</f>
        <v>-0.28999999999999998</v>
      </c>
      <c r="M178" t="str">
        <f>[1]!'4739.TW-ExchangeIndustry'</f>
        <v>上市化學生技醫療,上市化工</v>
      </c>
      <c r="N178" t="str">
        <f>[1]!'4739.TW-Capital'</f>
        <v>10.30</v>
      </c>
      <c r="O178" t="str">
        <f>[1]!'4739.TW-Time'</f>
        <v>10:14:36</v>
      </c>
    </row>
    <row r="179" spans="1:15" x14ac:dyDescent="0.25">
      <c r="A179" t="str">
        <f>[1]!'4755.TW-ID'</f>
        <v>4755</v>
      </c>
      <c r="B179" t="str">
        <f>[1]!'4755.TW-Name'</f>
        <v>三福化</v>
      </c>
      <c r="C179">
        <f>[1]!'4755.TW-Price'</f>
        <v>70.599999999999994</v>
      </c>
      <c r="D179">
        <f>[1]!'4755.TW-AvgPrice'</f>
        <v>70.319999999999993</v>
      </c>
      <c r="E179">
        <f>[1]!'4755.TW-PriceChangeRatio'</f>
        <v>2.62</v>
      </c>
      <c r="F179" t="str">
        <f>[1]!'4755.TW-InOutRatioNumber'</f>
        <v>69.49%</v>
      </c>
      <c r="G179">
        <f>[1]!'4755.TW-PreTotalVolumeRate'</f>
        <v>0.59</v>
      </c>
      <c r="H179">
        <f>[1]!'4755.TW-VolumeRatio'</f>
        <v>0.97</v>
      </c>
      <c r="I179">
        <f>[1]!'4755.TW-5DayAvgVol'</f>
        <v>241</v>
      </c>
      <c r="J179">
        <f>[1]!'4755.TW-DXLOrderOutValueRatio'</f>
        <v>0</v>
      </c>
      <c r="K179">
        <f>[1]!'4755.TW-DXLOrderValueDiffRatio'</f>
        <v>0</v>
      </c>
      <c r="L179">
        <f>[1]!'4755.TW-DLOrderValueDiffRatio'</f>
        <v>-3.1</v>
      </c>
      <c r="M179" t="str">
        <f>[1]!'4755.TW-ExchangeIndustry'</f>
        <v>上市化學生技醫療,上市化工</v>
      </c>
      <c r="N179" t="str">
        <f>[1]!'4755.TW-Capital'</f>
        <v>10.07</v>
      </c>
      <c r="O179" t="str">
        <f>[1]!'4755.TW-Time'</f>
        <v>10:11:40</v>
      </c>
    </row>
    <row r="180" spans="1:15" x14ac:dyDescent="0.25">
      <c r="A180" t="str">
        <f>[1]!'4763.TW-ID'</f>
        <v>4763</v>
      </c>
      <c r="B180" t="str">
        <f>[1]!'4763.TW-Name'</f>
        <v>材料-KY</v>
      </c>
      <c r="C180">
        <f>[1]!'4763.TW-Price'</f>
        <v>99</v>
      </c>
      <c r="D180">
        <f>[1]!'4763.TW-AvgPrice'</f>
        <v>98.63</v>
      </c>
      <c r="E180">
        <f>[1]!'4763.TW-PriceChangeRatio'</f>
        <v>0.41</v>
      </c>
      <c r="F180" t="str">
        <f>[1]!'4763.TW-InOutRatioNumber'</f>
        <v>30.00%</v>
      </c>
      <c r="G180">
        <f>[1]!'4763.TW-PreTotalVolumeRate'</f>
        <v>0.19</v>
      </c>
      <c r="H180">
        <f>[1]!'4763.TW-VolumeRatio'</f>
        <v>0.54</v>
      </c>
      <c r="I180">
        <f>[1]!'4763.TW-5DayAvgVol'</f>
        <v>69</v>
      </c>
      <c r="J180">
        <f>[1]!'4763.TW-DXLOrderOutValueRatio'</f>
        <v>0</v>
      </c>
      <c r="K180">
        <f>[1]!'4763.TW-DXLOrderValueDiffRatio'</f>
        <v>0</v>
      </c>
      <c r="L180">
        <f>[1]!'4763.TW-DLOrderValueDiffRatio'</f>
        <v>0</v>
      </c>
      <c r="M180" t="str">
        <f>[1]!'4763.TW-ExchangeIndustry'</f>
        <v>上市化學生技醫療,上市化工</v>
      </c>
      <c r="N180" t="str">
        <f>[1]!'4763.TW-Capital'</f>
        <v>5.86</v>
      </c>
      <c r="O180" t="str">
        <f>[1]!'4763.TW-Time'</f>
        <v>09:52:31</v>
      </c>
    </row>
    <row r="181" spans="1:15" x14ac:dyDescent="0.25">
      <c r="A181" t="str">
        <f>[1]!'4764.TW-ID'</f>
        <v>4764</v>
      </c>
      <c r="B181" t="str">
        <f>[1]!'4764.TW-Name'</f>
        <v>雙鍵</v>
      </c>
      <c r="C181">
        <f>[1]!'4764.TW-Price'</f>
        <v>53.7</v>
      </c>
      <c r="D181">
        <f>[1]!'4764.TW-AvgPrice'</f>
        <v>53.7</v>
      </c>
      <c r="E181">
        <f>[1]!'4764.TW-PriceChangeRatio'</f>
        <v>0.37</v>
      </c>
      <c r="F181" t="str">
        <f>[1]!'4764.TW-InOutRatioNumber'</f>
        <v>100.00%</v>
      </c>
      <c r="G181">
        <f>[1]!'4764.TW-PreTotalVolumeRate'</f>
        <v>0.08</v>
      </c>
      <c r="H181">
        <f>[1]!'4764.TW-VolumeRatio'</f>
        <v>0</v>
      </c>
      <c r="I181">
        <f>[1]!'4764.TW-5DayAvgVol'</f>
        <v>8</v>
      </c>
      <c r="J181">
        <f>[1]!'4764.TW-DXLOrderOutValueRatio'</f>
        <v>0</v>
      </c>
      <c r="K181">
        <f>[1]!'4764.TW-DXLOrderValueDiffRatio'</f>
        <v>0</v>
      </c>
      <c r="L181">
        <f>[1]!'4764.TW-DLOrderValueDiffRatio'</f>
        <v>0</v>
      </c>
      <c r="M181" t="str">
        <f>[1]!'4764.TW-ExchangeIndustry'</f>
        <v>上市化學生技醫療,上市化工</v>
      </c>
      <c r="N181" t="str">
        <f>[1]!'4764.TW-Capital'</f>
        <v>8.07</v>
      </c>
      <c r="O181" t="str">
        <f>[1]!'4764.TW-Time'</f>
        <v>09:00:52</v>
      </c>
    </row>
    <row r="182" spans="1:15" x14ac:dyDescent="0.25">
      <c r="A182" t="str">
        <f>[1]!'4766.TW-ID'</f>
        <v>4766</v>
      </c>
      <c r="B182" t="str">
        <f>[1]!'4766.TW-Name'</f>
        <v>南寶</v>
      </c>
      <c r="C182">
        <f>[1]!'4766.TW-Price'</f>
        <v>137.5</v>
      </c>
      <c r="D182">
        <f>[1]!'4766.TW-AvgPrice'</f>
        <v>137.5</v>
      </c>
      <c r="E182">
        <f>[1]!'4766.TW-PriceChangeRatio'</f>
        <v>0.73</v>
      </c>
      <c r="F182" t="str">
        <f>[1]!'4766.TW-InOutRatioNumber'</f>
        <v>100.00%</v>
      </c>
      <c r="G182">
        <f>[1]!'4766.TW-PreTotalVolumeRate'</f>
        <v>0.03</v>
      </c>
      <c r="H182">
        <f>[1]!'4766.TW-VolumeRatio'</f>
        <v>0</v>
      </c>
      <c r="I182">
        <f>[1]!'4766.TW-5DayAvgVol'</f>
        <v>29</v>
      </c>
      <c r="J182">
        <f>[1]!'4766.TW-DXLOrderOutValueRatio'</f>
        <v>0</v>
      </c>
      <c r="K182">
        <f>[1]!'4766.TW-DXLOrderValueDiffRatio'</f>
        <v>0</v>
      </c>
      <c r="L182">
        <f>[1]!'4766.TW-DLOrderValueDiffRatio'</f>
        <v>0</v>
      </c>
      <c r="M182" t="str">
        <f>[1]!'4766.TW-ExchangeIndustry'</f>
        <v>上市化學生技醫療,上市化工</v>
      </c>
      <c r="N182" t="str">
        <f>[1]!'4766.TW-Capital'</f>
        <v>12.06</v>
      </c>
      <c r="O182" t="str">
        <f>[1]!'4766.TW-Time'</f>
        <v>09:06:08</v>
      </c>
    </row>
    <row r="183" spans="1:15" x14ac:dyDescent="0.25">
      <c r="A183" t="str">
        <f>[1]!'1598.TW-ID'</f>
        <v>1598</v>
      </c>
      <c r="B183" t="str">
        <f>[1]!'1598.TW-Name'</f>
        <v>岱宇</v>
      </c>
      <c r="C183">
        <f>[1]!'1598.TW-Price'</f>
        <v>60.3</v>
      </c>
      <c r="D183">
        <f>[1]!'1598.TW-AvgPrice'</f>
        <v>60.38</v>
      </c>
      <c r="E183">
        <f>[1]!'1598.TW-PriceChangeRatio'</f>
        <v>-0.33</v>
      </c>
      <c r="F183" t="str">
        <f>[1]!'1598.TW-InOutRatioNumber'</f>
        <v>32.50%</v>
      </c>
      <c r="G183">
        <f>[1]!'1598.TW-PreTotalVolumeRate'</f>
        <v>0.13</v>
      </c>
      <c r="H183">
        <f>[1]!'1598.TW-VolumeRatio'</f>
        <v>0.27</v>
      </c>
      <c r="I183">
        <f>[1]!'1598.TW-5DayAvgVol'</f>
        <v>355</v>
      </c>
      <c r="J183">
        <f>[1]!'1598.TW-DXLOrderOutValueRatio'</f>
        <v>0</v>
      </c>
      <c r="K183">
        <f>[1]!'1598.TW-DXLOrderValueDiffRatio'</f>
        <v>0</v>
      </c>
      <c r="L183">
        <f>[1]!'1598.TW-DLOrderValueDiffRatio'</f>
        <v>0</v>
      </c>
      <c r="M183" t="str">
        <f>[1]!'1598.TW-ExchangeIndustry'</f>
        <v>上市化學生技醫療,上市生技醫療</v>
      </c>
      <c r="N183" t="str">
        <f>[1]!'1598.TW-Capital'</f>
        <v>13.47</v>
      </c>
      <c r="O183" t="str">
        <f>[1]!'1598.TW-Time'</f>
        <v>10:13:19</v>
      </c>
    </row>
    <row r="184" spans="1:15" x14ac:dyDescent="0.25">
      <c r="A184" t="str">
        <f>[1]!'1701.TW-ID'</f>
        <v>1701</v>
      </c>
      <c r="B184" t="str">
        <f>[1]!'1701.TW-Name'</f>
        <v>中化</v>
      </c>
      <c r="C184">
        <f>[1]!'1701.TW-Price'</f>
        <v>21.6</v>
      </c>
      <c r="D184">
        <f>[1]!'1701.TW-AvgPrice'</f>
        <v>21.65</v>
      </c>
      <c r="E184">
        <f>[1]!'1701.TW-PriceChangeRatio'</f>
        <v>0.23</v>
      </c>
      <c r="F184" t="str">
        <f>[1]!'1701.TW-InOutRatioNumber'</f>
        <v>30.14%</v>
      </c>
      <c r="G184">
        <f>[1]!'1701.TW-PreTotalVolumeRate'</f>
        <v>0.22</v>
      </c>
      <c r="H184">
        <f>[1]!'1701.TW-VolumeRatio'</f>
        <v>0.46</v>
      </c>
      <c r="I184">
        <f>[1]!'1701.TW-5DayAvgVol'</f>
        <v>631</v>
      </c>
      <c r="J184">
        <f>[1]!'1701.TW-DXLOrderOutValueRatio'</f>
        <v>0</v>
      </c>
      <c r="K184">
        <f>[1]!'1701.TW-DXLOrderValueDiffRatio'</f>
        <v>0</v>
      </c>
      <c r="L184">
        <f>[1]!'1701.TW-DLOrderValueDiffRatio'</f>
        <v>0</v>
      </c>
      <c r="M184" t="str">
        <f>[1]!'1701.TW-ExchangeIndustry'</f>
        <v>上市化學生技醫療,上市生技醫療</v>
      </c>
      <c r="N184" t="str">
        <f>[1]!'1701.TW-Capital'</f>
        <v>29.81</v>
      </c>
      <c r="O184" t="str">
        <f>[1]!'1701.TW-Time'</f>
        <v>10:14:46</v>
      </c>
    </row>
    <row r="185" spans="1:15" x14ac:dyDescent="0.25">
      <c r="A185" t="str">
        <f>[1]!'1707.TW-ID'</f>
        <v>1707</v>
      </c>
      <c r="B185" t="str">
        <f>[1]!'1707.TW-Name'</f>
        <v>葡萄王</v>
      </c>
      <c r="C185">
        <f>[1]!'1707.TW-Price'</f>
        <v>160</v>
      </c>
      <c r="D185">
        <f>[1]!'1707.TW-AvgPrice'</f>
        <v>160</v>
      </c>
      <c r="E185">
        <f>[1]!'1707.TW-PriceChangeRatio'</f>
        <v>0</v>
      </c>
      <c r="F185" t="str">
        <f>[1]!'1707.TW-InOutRatioNumber'</f>
        <v>0.00%</v>
      </c>
      <c r="G185">
        <f>[1]!'1707.TW-PreTotalVolumeRate'</f>
        <v>0.23</v>
      </c>
      <c r="H185">
        <f>[1]!'1707.TW-VolumeRatio'</f>
        <v>0</v>
      </c>
      <c r="I185">
        <f>[1]!'1707.TW-5DayAvgVol'</f>
        <v>58</v>
      </c>
      <c r="J185">
        <f>[1]!'1707.TW-DXLOrderOutValueRatio'</f>
        <v>0</v>
      </c>
      <c r="K185">
        <f>[1]!'1707.TW-DXLOrderValueDiffRatio'</f>
        <v>0</v>
      </c>
      <c r="L185">
        <f>[1]!'1707.TW-DLOrderValueDiffRatio'</f>
        <v>0</v>
      </c>
      <c r="M185" t="str">
        <f>[1]!'1707.TW-ExchangeIndustry'</f>
        <v>上市化學生技醫療,上市生技醫療</v>
      </c>
      <c r="N185" t="str">
        <f>[1]!'1707.TW-Capital'</f>
        <v>14.81</v>
      </c>
      <c r="O185" t="str">
        <f>[1]!'1707.TW-Time'</f>
        <v>10:10:59</v>
      </c>
    </row>
    <row r="186" spans="1:15" x14ac:dyDescent="0.25">
      <c r="A186" t="str">
        <f>[1]!'1720.TW-ID'</f>
        <v>1720</v>
      </c>
      <c r="B186" t="str">
        <f>[1]!'1720.TW-Name'</f>
        <v>生達</v>
      </c>
      <c r="C186">
        <f>[1]!'1720.TW-Price'</f>
        <v>37.5</v>
      </c>
      <c r="D186">
        <f>[1]!'1720.TW-AvgPrice'</f>
        <v>37.54</v>
      </c>
      <c r="E186">
        <f>[1]!'1720.TW-PriceChangeRatio'</f>
        <v>0.13</v>
      </c>
      <c r="F186" t="str">
        <f>[1]!'1720.TW-InOutRatioNumber'</f>
        <v>50.00%</v>
      </c>
      <c r="G186">
        <f>[1]!'1720.TW-PreTotalVolumeRate'</f>
        <v>0.05</v>
      </c>
      <c r="H186">
        <f>[1]!'1720.TW-VolumeRatio'</f>
        <v>0.17</v>
      </c>
      <c r="I186">
        <f>[1]!'1720.TW-5DayAvgVol'</f>
        <v>124</v>
      </c>
      <c r="J186">
        <f>[1]!'1720.TW-DXLOrderOutValueRatio'</f>
        <v>0</v>
      </c>
      <c r="K186">
        <f>[1]!'1720.TW-DXLOrderValueDiffRatio'</f>
        <v>0</v>
      </c>
      <c r="L186">
        <f>[1]!'1720.TW-DLOrderValueDiffRatio'</f>
        <v>0</v>
      </c>
      <c r="M186" t="str">
        <f>[1]!'1720.TW-ExchangeIndustry'</f>
        <v>上市化學生技醫療,上市生技醫療</v>
      </c>
      <c r="N186" t="str">
        <f>[1]!'1720.TW-Capital'</f>
        <v>17.87</v>
      </c>
      <c r="O186" t="str">
        <f>[1]!'1720.TW-Time'</f>
        <v>09:53:14</v>
      </c>
    </row>
    <row r="187" spans="1:15" x14ac:dyDescent="0.25">
      <c r="A187" t="str">
        <f>[1]!'1731.TW-ID'</f>
        <v>1731</v>
      </c>
      <c r="B187" t="str">
        <f>[1]!'1731.TW-Name'</f>
        <v>美吾華</v>
      </c>
      <c r="C187">
        <f>[1]!'1731.TW-Price'</f>
        <v>19.05</v>
      </c>
      <c r="D187">
        <f>[1]!'1731.TW-AvgPrice'</f>
        <v>19.03</v>
      </c>
      <c r="E187">
        <f>[1]!'1731.TW-PriceChangeRatio'</f>
        <v>0.53</v>
      </c>
      <c r="F187" t="str">
        <f>[1]!'1731.TW-InOutRatioNumber'</f>
        <v>72.22%</v>
      </c>
      <c r="G187">
        <f>[1]!'1731.TW-PreTotalVolumeRate'</f>
        <v>0.65</v>
      </c>
      <c r="H187">
        <f>[1]!'1731.TW-VolumeRatio'</f>
        <v>2.06</v>
      </c>
      <c r="I187">
        <f>[1]!'1731.TW-5DayAvgVol'</f>
        <v>171</v>
      </c>
      <c r="J187">
        <f>[1]!'1731.TW-DXLOrderOutValueRatio'</f>
        <v>0</v>
      </c>
      <c r="K187">
        <f>[1]!'1731.TW-DXLOrderValueDiffRatio'</f>
        <v>0</v>
      </c>
      <c r="L187">
        <f>[1]!'1731.TW-DLOrderValueDiffRatio'</f>
        <v>27.5</v>
      </c>
      <c r="M187" t="str">
        <f>[1]!'1731.TW-ExchangeIndustry'</f>
        <v>上市化學生技醫療,上市生技醫療</v>
      </c>
      <c r="N187" t="str">
        <f>[1]!'1731.TW-Capital'</f>
        <v>13.29</v>
      </c>
      <c r="O187" t="str">
        <f>[1]!'1731.TW-Time'</f>
        <v>10:11:45</v>
      </c>
    </row>
    <row r="188" spans="1:15" x14ac:dyDescent="0.25">
      <c r="A188" t="str">
        <f>[1]!'1733.TW-ID'</f>
        <v>1733</v>
      </c>
      <c r="B188" t="str">
        <f>[1]!'1733.TW-Name'</f>
        <v>五鼎</v>
      </c>
      <c r="C188">
        <f>[1]!'1733.TW-Price'</f>
        <v>22.9</v>
      </c>
      <c r="D188">
        <f>[1]!'1733.TW-AvgPrice'</f>
        <v>22.88</v>
      </c>
      <c r="E188">
        <f>[1]!'1733.TW-PriceChangeRatio'</f>
        <v>0.44</v>
      </c>
      <c r="F188" t="str">
        <f>[1]!'1733.TW-InOutRatioNumber'</f>
        <v>51.85%</v>
      </c>
      <c r="G188">
        <f>[1]!'1733.TW-PreTotalVolumeRate'</f>
        <v>0.31</v>
      </c>
      <c r="H188">
        <f>[1]!'1733.TW-VolumeRatio'</f>
        <v>3.02</v>
      </c>
      <c r="I188">
        <f>[1]!'1733.TW-5DayAvgVol'</f>
        <v>66</v>
      </c>
      <c r="J188">
        <f>[1]!'1733.TW-DXLOrderOutValueRatio'</f>
        <v>0</v>
      </c>
      <c r="K188">
        <f>[1]!'1733.TW-DXLOrderValueDiffRatio'</f>
        <v>0</v>
      </c>
      <c r="L188">
        <f>[1]!'1733.TW-DLOrderValueDiffRatio'</f>
        <v>0</v>
      </c>
      <c r="M188" t="str">
        <f>[1]!'1733.TW-ExchangeIndustry'</f>
        <v>上市化學生技醫療,上市生技醫療</v>
      </c>
      <c r="N188" t="str">
        <f>[1]!'1733.TW-Capital'</f>
        <v>10.00</v>
      </c>
      <c r="O188" t="str">
        <f>[1]!'1733.TW-Time'</f>
        <v>10:03:51</v>
      </c>
    </row>
    <row r="189" spans="1:15" x14ac:dyDescent="0.25">
      <c r="A189" t="str">
        <f>[1]!'1734.TW-ID'</f>
        <v>1734</v>
      </c>
      <c r="B189" t="str">
        <f>[1]!'1734.TW-Name'</f>
        <v>杏輝</v>
      </c>
      <c r="C189">
        <f>[1]!'1734.TW-Price'</f>
        <v>38</v>
      </c>
      <c r="D189">
        <f>[1]!'1734.TW-AvgPrice'</f>
        <v>38.22</v>
      </c>
      <c r="E189">
        <f>[1]!'1734.TW-PriceChangeRatio'</f>
        <v>0.4</v>
      </c>
      <c r="F189" t="str">
        <f>[1]!'1734.TW-InOutRatioNumber'</f>
        <v>59.43%</v>
      </c>
      <c r="G189">
        <f>[1]!'1734.TW-PreTotalVolumeRate'</f>
        <v>0.28999999999999998</v>
      </c>
      <c r="H189">
        <f>[1]!'1734.TW-VolumeRatio'</f>
        <v>0.71</v>
      </c>
      <c r="I189">
        <f>[1]!'1734.TW-5DayAvgVol'</f>
        <v>2569</v>
      </c>
      <c r="J189">
        <f>[1]!'1734.TW-DXLOrderOutValueRatio'</f>
        <v>6.3</v>
      </c>
      <c r="K189">
        <f>[1]!'1734.TW-DXLOrderValueDiffRatio'</f>
        <v>-1.52</v>
      </c>
      <c r="L189">
        <f>[1]!'1734.TW-DLOrderValueDiffRatio'</f>
        <v>8.74</v>
      </c>
      <c r="M189" t="str">
        <f>[1]!'1734.TW-ExchangeIndustry'</f>
        <v>上市化學生技醫療,上市生技醫療</v>
      </c>
      <c r="N189" t="str">
        <f>[1]!'1734.TW-Capital'</f>
        <v>16.77</v>
      </c>
      <c r="O189" t="str">
        <f>[1]!'1734.TW-Time'</f>
        <v>10:14:40</v>
      </c>
    </row>
    <row r="190" spans="1:15" x14ac:dyDescent="0.25">
      <c r="A190" t="str">
        <f>[1]!'1736.TW-ID'</f>
        <v>1736</v>
      </c>
      <c r="B190" t="str">
        <f>[1]!'1736.TW-Name'</f>
        <v>喬山</v>
      </c>
      <c r="C190">
        <f>[1]!'1736.TW-Price'</f>
        <v>57</v>
      </c>
      <c r="D190">
        <f>[1]!'1736.TW-AvgPrice'</f>
        <v>56.31</v>
      </c>
      <c r="E190">
        <f>[1]!'1736.TW-PriceChangeRatio'</f>
        <v>1.24</v>
      </c>
      <c r="F190" t="str">
        <f>[1]!'1736.TW-InOutRatioNumber'</f>
        <v>60.00%</v>
      </c>
      <c r="G190">
        <f>[1]!'1736.TW-PreTotalVolumeRate'</f>
        <v>0.23</v>
      </c>
      <c r="H190">
        <f>[1]!'1736.TW-VolumeRatio'</f>
        <v>0.56999999999999995</v>
      </c>
      <c r="I190">
        <f>[1]!'1736.TW-5DayAvgVol'</f>
        <v>788</v>
      </c>
      <c r="J190">
        <f>[1]!'1736.TW-DXLOrderOutValueRatio'</f>
        <v>0</v>
      </c>
      <c r="K190">
        <f>[1]!'1736.TW-DXLOrderValueDiffRatio'</f>
        <v>0</v>
      </c>
      <c r="L190">
        <f>[1]!'1736.TW-DLOrderValueDiffRatio'</f>
        <v>1.96</v>
      </c>
      <c r="M190" t="str">
        <f>[1]!'1736.TW-ExchangeIndustry'</f>
        <v>上市化學生技醫療,上市生技醫療</v>
      </c>
      <c r="N190" t="str">
        <f>[1]!'1736.TW-Capital'</f>
        <v>30.36</v>
      </c>
      <c r="O190" t="str">
        <f>[1]!'1736.TW-Time'</f>
        <v>10:06:18</v>
      </c>
    </row>
    <row r="191" spans="1:15" x14ac:dyDescent="0.25">
      <c r="A191" t="str">
        <f>[1]!'1760.TW-ID'</f>
        <v>1760</v>
      </c>
      <c r="B191" t="str">
        <f>[1]!'1760.TW-Name'</f>
        <v>寶齡富錦</v>
      </c>
      <c r="C191">
        <f>[1]!'1760.TW-Price'</f>
        <v>66.2</v>
      </c>
      <c r="D191">
        <f>[1]!'1760.TW-AvgPrice'</f>
        <v>66.569999999999993</v>
      </c>
      <c r="E191">
        <f>[1]!'1760.TW-PriceChangeRatio'</f>
        <v>-0.6</v>
      </c>
      <c r="F191" t="str">
        <f>[1]!'1760.TW-InOutRatioNumber'</f>
        <v>22.76%</v>
      </c>
      <c r="G191">
        <f>[1]!'1760.TW-PreTotalVolumeRate'</f>
        <v>0.19</v>
      </c>
      <c r="H191">
        <f>[1]!'1760.TW-VolumeRatio'</f>
        <v>0.5</v>
      </c>
      <c r="I191">
        <f>[1]!'1760.TW-5DayAvgVol'</f>
        <v>518</v>
      </c>
      <c r="J191">
        <f>[1]!'1760.TW-DXLOrderOutValueRatio'</f>
        <v>0</v>
      </c>
      <c r="K191">
        <f>[1]!'1760.TW-DXLOrderValueDiffRatio'</f>
        <v>-30.84</v>
      </c>
      <c r="L191">
        <f>[1]!'1760.TW-DLOrderValueDiffRatio'</f>
        <v>-9.4499999999999993</v>
      </c>
      <c r="M191" t="str">
        <f>[1]!'1760.TW-ExchangeIndustry'</f>
        <v>上市化學生技醫療,上市生技醫療</v>
      </c>
      <c r="N191" t="str">
        <f>[1]!'1760.TW-Capital'</f>
        <v>8.57</v>
      </c>
      <c r="O191" t="str">
        <f>[1]!'1760.TW-Time'</f>
        <v>10:12:35</v>
      </c>
    </row>
    <row r="192" spans="1:15" x14ac:dyDescent="0.25">
      <c r="A192" t="str">
        <f>[1]!'1762.TW-ID'</f>
        <v>1762</v>
      </c>
      <c r="B192" t="str">
        <f>[1]!'1762.TW-Name'</f>
        <v>中化生</v>
      </c>
      <c r="C192">
        <f>[1]!'1762.TW-Price'</f>
        <v>66.8</v>
      </c>
      <c r="D192">
        <f>[1]!'1762.TW-AvgPrice'</f>
        <v>66.45</v>
      </c>
      <c r="E192">
        <f>[1]!'1762.TW-PriceChangeRatio'</f>
        <v>-1.04</v>
      </c>
      <c r="F192" t="str">
        <f>[1]!'1762.TW-InOutRatioNumber'</f>
        <v>27.43%</v>
      </c>
      <c r="G192">
        <f>[1]!'1762.TW-PreTotalVolumeRate'</f>
        <v>0.56999999999999995</v>
      </c>
      <c r="H192">
        <f>[1]!'1762.TW-VolumeRatio'</f>
        <v>1.02</v>
      </c>
      <c r="I192">
        <f>[1]!'1762.TW-5DayAvgVol'</f>
        <v>1882</v>
      </c>
      <c r="J192">
        <f>[1]!'1762.TW-DXLOrderOutValueRatio'</f>
        <v>0</v>
      </c>
      <c r="K192">
        <f>[1]!'1762.TW-DXLOrderValueDiffRatio'</f>
        <v>-9.41</v>
      </c>
      <c r="L192">
        <f>[1]!'1762.TW-DLOrderValueDiffRatio'</f>
        <v>-15.06</v>
      </c>
      <c r="M192" t="str">
        <f>[1]!'1762.TW-ExchangeIndustry'</f>
        <v>上市化學生技醫療,上市生技醫療</v>
      </c>
      <c r="N192" t="str">
        <f>[1]!'1762.TW-Capital'</f>
        <v>7.76</v>
      </c>
      <c r="O192" t="str">
        <f>[1]!'1762.TW-Time'</f>
        <v>10:14:47</v>
      </c>
    </row>
    <row r="193" spans="1:15" x14ac:dyDescent="0.25">
      <c r="A193" t="str">
        <f>[1]!'1783.TW-ID'</f>
        <v>1783</v>
      </c>
      <c r="B193" t="str">
        <f>[1]!'1783.TW-Name'</f>
        <v>和康生</v>
      </c>
      <c r="C193">
        <f>[1]!'1783.TW-Price'</f>
        <v>54.5</v>
      </c>
      <c r="D193">
        <f>[1]!'1783.TW-AvgPrice'</f>
        <v>54.17</v>
      </c>
      <c r="E193">
        <f>[1]!'1783.TW-PriceChangeRatio'</f>
        <v>3.61</v>
      </c>
      <c r="F193" t="str">
        <f>[1]!'1783.TW-InOutRatioNumber'</f>
        <v>79.30%</v>
      </c>
      <c r="G193">
        <f>[1]!'1783.TW-PreTotalVolumeRate'</f>
        <v>1.02</v>
      </c>
      <c r="H193">
        <f>[1]!'1783.TW-VolumeRatio'</f>
        <v>2.0699999999999998</v>
      </c>
      <c r="I193">
        <f>[1]!'1783.TW-5DayAvgVol'</f>
        <v>980</v>
      </c>
      <c r="J193">
        <f>[1]!'1783.TW-DXLOrderOutValueRatio'</f>
        <v>9.67</v>
      </c>
      <c r="K193">
        <f>[1]!'1783.TW-DXLOrderValueDiffRatio'</f>
        <v>9.67</v>
      </c>
      <c r="L193">
        <f>[1]!'1783.TW-DLOrderValueDiffRatio'</f>
        <v>9.75</v>
      </c>
      <c r="M193" t="str">
        <f>[1]!'1783.TW-ExchangeIndustry'</f>
        <v>上市化學生技醫療,上市生技醫療</v>
      </c>
      <c r="N193" t="str">
        <f>[1]!'1783.TW-Capital'</f>
        <v>7.70</v>
      </c>
      <c r="O193" t="str">
        <f>[1]!'1783.TW-Time'</f>
        <v>10:15:19</v>
      </c>
    </row>
    <row r="194" spans="1:15" x14ac:dyDescent="0.25">
      <c r="A194" t="str">
        <f>[1]!'1786.TW-ID'</f>
        <v>1786</v>
      </c>
      <c r="B194" t="str">
        <f>[1]!'1786.TW-Name'</f>
        <v>科妍</v>
      </c>
      <c r="C194" t="str">
        <f>[1]!'1786.TW-Price'</f>
        <v>--</v>
      </c>
      <c r="D194" t="str">
        <f>[1]!'1786.TW-AvgPrice'</f>
        <v>--</v>
      </c>
      <c r="E194" t="str">
        <f>[1]!'1786.TW-PriceChangeRatio'</f>
        <v>--</v>
      </c>
      <c r="F194" t="str">
        <f>[1]!'1786.TW-InOutRatioNumber'</f>
        <v>--</v>
      </c>
      <c r="G194">
        <f>[1]!'1786.TW-PreTotalVolumeRate'</f>
        <v>0</v>
      </c>
      <c r="H194">
        <f>[1]!'1786.TW-VolumeRatio'</f>
        <v>0</v>
      </c>
      <c r="I194">
        <f>[1]!'1786.TW-5DayAvgVol'</f>
        <v>18</v>
      </c>
      <c r="J194">
        <f>[1]!'1786.TW-DXLOrderOutValueRatio'</f>
        <v>0</v>
      </c>
      <c r="K194">
        <f>[1]!'1786.TW-DXLOrderValueDiffRatio'</f>
        <v>0</v>
      </c>
      <c r="L194">
        <f>[1]!'1786.TW-DLOrderValueDiffRatio'</f>
        <v>0</v>
      </c>
      <c r="M194" t="str">
        <f>[1]!'1786.TW-ExchangeIndustry'</f>
        <v>上市化學生技醫療,上市生技醫療</v>
      </c>
      <c r="N194" t="str">
        <f>[1]!'1786.TW-Capital'</f>
        <v>6.62</v>
      </c>
      <c r="O194" t="str">
        <f>[1]!'1786.TW-Time'</f>
        <v>--</v>
      </c>
    </row>
    <row r="195" spans="1:15" x14ac:dyDescent="0.25">
      <c r="A195" t="str">
        <f>[1]!'1789.TW-ID'</f>
        <v>1789</v>
      </c>
      <c r="B195" t="str">
        <f>[1]!'1789.TW-Name'</f>
        <v>神隆</v>
      </c>
      <c r="C195">
        <f>[1]!'1789.TW-Price'</f>
        <v>24.15</v>
      </c>
      <c r="D195">
        <f>[1]!'1789.TW-AvgPrice'</f>
        <v>24.01</v>
      </c>
      <c r="E195">
        <f>[1]!'1789.TW-PriceChangeRatio'</f>
        <v>0.63</v>
      </c>
      <c r="F195" t="str">
        <f>[1]!'1789.TW-InOutRatioNumber'</f>
        <v>34.62%</v>
      </c>
      <c r="G195">
        <f>[1]!'1789.TW-PreTotalVolumeRate'</f>
        <v>0.11</v>
      </c>
      <c r="H195">
        <f>[1]!'1789.TW-VolumeRatio'</f>
        <v>0.42</v>
      </c>
      <c r="I195">
        <f>[1]!'1789.TW-5DayAvgVol'</f>
        <v>257</v>
      </c>
      <c r="J195">
        <f>[1]!'1789.TW-DXLOrderOutValueRatio'</f>
        <v>0</v>
      </c>
      <c r="K195">
        <f>[1]!'1789.TW-DXLOrderValueDiffRatio'</f>
        <v>0</v>
      </c>
      <c r="L195">
        <f>[1]!'1789.TW-DLOrderValueDiffRatio'</f>
        <v>0</v>
      </c>
      <c r="M195" t="str">
        <f>[1]!'1789.TW-ExchangeIndustry'</f>
        <v>上市化學生技醫療,上市生技醫療</v>
      </c>
      <c r="N195" t="str">
        <f>[1]!'1789.TW-Capital'</f>
        <v>79.07</v>
      </c>
      <c r="O195" t="str">
        <f>[1]!'1789.TW-Time'</f>
        <v>10:03:59</v>
      </c>
    </row>
    <row r="196" spans="1:15" x14ac:dyDescent="0.25">
      <c r="A196" t="str">
        <f>[1]!'1795.TW-ID'</f>
        <v>1795</v>
      </c>
      <c r="B196" t="str">
        <f>[1]!'1795.TW-Name'</f>
        <v>美時</v>
      </c>
      <c r="C196">
        <f>[1]!'1795.TW-Price'</f>
        <v>99</v>
      </c>
      <c r="D196">
        <f>[1]!'1795.TW-AvgPrice'</f>
        <v>98.95</v>
      </c>
      <c r="E196">
        <f>[1]!'1795.TW-PriceChangeRatio'</f>
        <v>1.02</v>
      </c>
      <c r="F196" t="str">
        <f>[1]!'1795.TW-InOutRatioNumber'</f>
        <v>50.61%</v>
      </c>
      <c r="G196">
        <f>[1]!'1795.TW-PreTotalVolumeRate'</f>
        <v>0.22</v>
      </c>
      <c r="H196">
        <f>[1]!'1795.TW-VolumeRatio'</f>
        <v>0.46</v>
      </c>
      <c r="I196">
        <f>[1]!'1795.TW-5DayAvgVol'</f>
        <v>1679</v>
      </c>
      <c r="J196">
        <f>[1]!'1795.TW-DXLOrderOutValueRatio'</f>
        <v>0</v>
      </c>
      <c r="K196">
        <f>[1]!'1795.TW-DXLOrderValueDiffRatio'</f>
        <v>-12.69</v>
      </c>
      <c r="L196">
        <f>[1]!'1795.TW-DLOrderValueDiffRatio'</f>
        <v>0.32</v>
      </c>
      <c r="M196" t="str">
        <f>[1]!'1795.TW-ExchangeIndustry'</f>
        <v>上市化學生技醫療,上市生技醫療</v>
      </c>
      <c r="N196" t="str">
        <f>[1]!'1795.TW-Capital'</f>
        <v>26.29</v>
      </c>
      <c r="O196" t="str">
        <f>[1]!'1795.TW-Time'</f>
        <v>10:14:49</v>
      </c>
    </row>
    <row r="197" spans="1:15" x14ac:dyDescent="0.25">
      <c r="A197" t="str">
        <f>[1]!'3164.TW-ID'</f>
        <v>3164</v>
      </c>
      <c r="B197" t="str">
        <f>[1]!'3164.TW-Name'</f>
        <v>景岳</v>
      </c>
      <c r="C197">
        <f>[1]!'3164.TW-Price'</f>
        <v>23.5</v>
      </c>
      <c r="D197">
        <f>[1]!'3164.TW-AvgPrice'</f>
        <v>23.5</v>
      </c>
      <c r="E197">
        <f>[1]!'3164.TW-PriceChangeRatio'</f>
        <v>-0.21</v>
      </c>
      <c r="F197" t="str">
        <f>[1]!'3164.TW-InOutRatioNumber'</f>
        <v>0.00%</v>
      </c>
      <c r="G197">
        <f>[1]!'3164.TW-PreTotalVolumeRate'</f>
        <v>0.02</v>
      </c>
      <c r="H197">
        <f>[1]!'3164.TW-VolumeRatio'</f>
        <v>0</v>
      </c>
      <c r="I197">
        <f>[1]!'3164.TW-5DayAvgVol'</f>
        <v>31</v>
      </c>
      <c r="J197">
        <f>[1]!'3164.TW-DXLOrderOutValueRatio'</f>
        <v>0</v>
      </c>
      <c r="K197">
        <f>[1]!'3164.TW-DXLOrderValueDiffRatio'</f>
        <v>0</v>
      </c>
      <c r="L197">
        <f>[1]!'3164.TW-DLOrderValueDiffRatio'</f>
        <v>0</v>
      </c>
      <c r="M197" t="str">
        <f>[1]!'3164.TW-ExchangeIndustry'</f>
        <v>上市化學生技醫療,上市生技醫療</v>
      </c>
      <c r="N197" t="str">
        <f>[1]!'3164.TW-Capital'</f>
        <v>8.64</v>
      </c>
      <c r="O197" t="str">
        <f>[1]!'3164.TW-Time'</f>
        <v>09:07:08</v>
      </c>
    </row>
    <row r="198" spans="1:15" x14ac:dyDescent="0.25">
      <c r="A198" t="str">
        <f>[1]!'3705.TW-ID'</f>
        <v>3705</v>
      </c>
      <c r="B198" t="str">
        <f>[1]!'3705.TW-Name'</f>
        <v>永信</v>
      </c>
      <c r="C198">
        <f>[1]!'3705.TW-Price'</f>
        <v>43.35</v>
      </c>
      <c r="D198">
        <f>[1]!'3705.TW-AvgPrice'</f>
        <v>43.27</v>
      </c>
      <c r="E198">
        <f>[1]!'3705.TW-PriceChangeRatio'</f>
        <v>0.23</v>
      </c>
      <c r="F198" t="str">
        <f>[1]!'3705.TW-InOutRatioNumber'</f>
        <v>60.00%</v>
      </c>
      <c r="G198">
        <f>[1]!'3705.TW-PreTotalVolumeRate'</f>
        <v>0.53</v>
      </c>
      <c r="H198">
        <f>[1]!'3705.TW-VolumeRatio'</f>
        <v>1.99</v>
      </c>
      <c r="I198">
        <f>[1]!'3705.TW-5DayAvgVol'</f>
        <v>134</v>
      </c>
      <c r="J198">
        <f>[1]!'3705.TW-DXLOrderOutValueRatio'</f>
        <v>41.46</v>
      </c>
      <c r="K198">
        <f>[1]!'3705.TW-DXLOrderValueDiffRatio'</f>
        <v>41.46</v>
      </c>
      <c r="L198">
        <f>[1]!'3705.TW-DLOrderValueDiffRatio'</f>
        <v>0</v>
      </c>
      <c r="M198" t="str">
        <f>[1]!'3705.TW-ExchangeIndustry'</f>
        <v>上市化學生技醫療,上市生技醫療</v>
      </c>
      <c r="N198" t="str">
        <f>[1]!'3705.TW-Capital'</f>
        <v>26.64</v>
      </c>
      <c r="O198" t="str">
        <f>[1]!'3705.TW-Time'</f>
        <v>10:15:08</v>
      </c>
    </row>
    <row r="199" spans="1:15" x14ac:dyDescent="0.25">
      <c r="A199" t="str">
        <f>[1]!'4104.TW-ID'</f>
        <v>4104</v>
      </c>
      <c r="B199" t="str">
        <f>[1]!'4104.TW-Name'</f>
        <v>佳醫</v>
      </c>
      <c r="C199">
        <f>[1]!'4104.TW-Price'</f>
        <v>54.9</v>
      </c>
      <c r="D199">
        <f>[1]!'4104.TW-AvgPrice'</f>
        <v>54.9</v>
      </c>
      <c r="E199">
        <f>[1]!'4104.TW-PriceChangeRatio'</f>
        <v>-0.18</v>
      </c>
      <c r="F199" t="str">
        <f>[1]!'4104.TW-InOutRatioNumber'</f>
        <v>54.55%</v>
      </c>
      <c r="G199">
        <f>[1]!'4104.TW-PreTotalVolumeRate'</f>
        <v>0.36</v>
      </c>
      <c r="H199">
        <f>[1]!'4104.TW-VolumeRatio'</f>
        <v>1.34</v>
      </c>
      <c r="I199">
        <f>[1]!'4104.TW-5DayAvgVol'</f>
        <v>98</v>
      </c>
      <c r="J199">
        <f>[1]!'4104.TW-DXLOrderOutValueRatio'</f>
        <v>0</v>
      </c>
      <c r="K199">
        <f>[1]!'4104.TW-DXLOrderValueDiffRatio'</f>
        <v>0</v>
      </c>
      <c r="L199">
        <f>[1]!'4104.TW-DLOrderValueDiffRatio'</f>
        <v>0</v>
      </c>
      <c r="M199" t="str">
        <f>[1]!'4104.TW-ExchangeIndustry'</f>
        <v>上市化學生技醫療,上市生技醫療</v>
      </c>
      <c r="N199" t="str">
        <f>[1]!'4104.TW-Capital'</f>
        <v>14.11</v>
      </c>
      <c r="O199" t="str">
        <f>[1]!'4104.TW-Time'</f>
        <v>10:04:40</v>
      </c>
    </row>
    <row r="200" spans="1:15" x14ac:dyDescent="0.25">
      <c r="A200" t="str">
        <f>[1]!'4106.TW-ID'</f>
        <v>4106</v>
      </c>
      <c r="B200" t="str">
        <f>[1]!'4106.TW-Name'</f>
        <v>雃博</v>
      </c>
      <c r="C200">
        <f>[1]!'4106.TW-Price'</f>
        <v>26.3</v>
      </c>
      <c r="D200">
        <f>[1]!'4106.TW-AvgPrice'</f>
        <v>26.43</v>
      </c>
      <c r="E200">
        <f>[1]!'4106.TW-PriceChangeRatio'</f>
        <v>-1.1299999999999999</v>
      </c>
      <c r="F200" t="str">
        <f>[1]!'4106.TW-InOutRatioNumber'</f>
        <v>22.22%</v>
      </c>
      <c r="G200">
        <f>[1]!'4106.TW-PreTotalVolumeRate'</f>
        <v>0.26</v>
      </c>
      <c r="H200">
        <f>[1]!'4106.TW-VolumeRatio'</f>
        <v>0.56000000000000005</v>
      </c>
      <c r="I200">
        <f>[1]!'4106.TW-5DayAvgVol'</f>
        <v>282</v>
      </c>
      <c r="J200">
        <f>[1]!'4106.TW-DXLOrderOutValueRatio'</f>
        <v>0</v>
      </c>
      <c r="K200">
        <f>[1]!'4106.TW-DXLOrderValueDiffRatio'</f>
        <v>0</v>
      </c>
      <c r="L200">
        <f>[1]!'4106.TW-DLOrderValueDiffRatio'</f>
        <v>0</v>
      </c>
      <c r="M200" t="str">
        <f>[1]!'4106.TW-ExchangeIndustry'</f>
        <v>上市化學生技醫療,上市生技醫療</v>
      </c>
      <c r="N200" t="str">
        <f>[1]!'4106.TW-Capital'</f>
        <v>10.09</v>
      </c>
      <c r="O200" t="str">
        <f>[1]!'4106.TW-Time'</f>
        <v>10:13:45</v>
      </c>
    </row>
    <row r="201" spans="1:15" x14ac:dyDescent="0.25">
      <c r="A201" t="str">
        <f>[1]!'4108.TW-ID'</f>
        <v>4108</v>
      </c>
      <c r="B201" t="str">
        <f>[1]!'4108.TW-Name'</f>
        <v>懷特</v>
      </c>
      <c r="C201">
        <f>[1]!'4108.TW-Price'</f>
        <v>21.65</v>
      </c>
      <c r="D201">
        <f>[1]!'4108.TW-AvgPrice'</f>
        <v>21.7</v>
      </c>
      <c r="E201">
        <f>[1]!'4108.TW-PriceChangeRatio'</f>
        <v>-0.23</v>
      </c>
      <c r="F201" t="str">
        <f>[1]!'4108.TW-InOutRatioNumber'</f>
        <v>12.00%</v>
      </c>
      <c r="G201">
        <f>[1]!'4108.TW-PreTotalVolumeRate'</f>
        <v>0.16</v>
      </c>
      <c r="H201">
        <f>[1]!'4108.TW-VolumeRatio'</f>
        <v>0.56000000000000005</v>
      </c>
      <c r="I201">
        <f>[1]!'4108.TW-5DayAvgVol'</f>
        <v>252</v>
      </c>
      <c r="J201">
        <f>[1]!'4108.TW-DXLOrderOutValueRatio'</f>
        <v>0</v>
      </c>
      <c r="K201">
        <f>[1]!'4108.TW-DXLOrderValueDiffRatio'</f>
        <v>0</v>
      </c>
      <c r="L201">
        <f>[1]!'4108.TW-DLOrderValueDiffRatio'</f>
        <v>0</v>
      </c>
      <c r="M201" t="str">
        <f>[1]!'4108.TW-ExchangeIndustry'</f>
        <v>上市化學生技醫療,上市生技醫療</v>
      </c>
      <c r="N201" t="str">
        <f>[1]!'4108.TW-Capital'</f>
        <v>19.86</v>
      </c>
      <c r="O201" t="str">
        <f>[1]!'4108.TW-Time'</f>
        <v>09:54:08</v>
      </c>
    </row>
    <row r="202" spans="1:15" x14ac:dyDescent="0.25">
      <c r="A202" t="str">
        <f>[1]!'4119.TW-ID'</f>
        <v>4119</v>
      </c>
      <c r="B202" t="str">
        <f>[1]!'4119.TW-Name'</f>
        <v>旭富</v>
      </c>
      <c r="C202">
        <f>[1]!'4119.TW-Price'</f>
        <v>78</v>
      </c>
      <c r="D202">
        <f>[1]!'4119.TW-AvgPrice'</f>
        <v>77.97</v>
      </c>
      <c r="E202">
        <f>[1]!'4119.TW-PriceChangeRatio'</f>
        <v>0.26</v>
      </c>
      <c r="F202" t="str">
        <f>[1]!'4119.TW-InOutRatioNumber'</f>
        <v>38.24%</v>
      </c>
      <c r="G202">
        <f>[1]!'4119.TW-PreTotalVolumeRate'</f>
        <v>0.2</v>
      </c>
      <c r="H202">
        <f>[1]!'4119.TW-VolumeRatio'</f>
        <v>0.69</v>
      </c>
      <c r="I202">
        <f>[1]!'4119.TW-5DayAvgVol'</f>
        <v>274</v>
      </c>
      <c r="J202">
        <f>[1]!'4119.TW-DXLOrderOutValueRatio'</f>
        <v>0</v>
      </c>
      <c r="K202">
        <f>[1]!'4119.TW-DXLOrderValueDiffRatio'</f>
        <v>0</v>
      </c>
      <c r="L202">
        <f>[1]!'4119.TW-DLOrderValueDiffRatio'</f>
        <v>0</v>
      </c>
      <c r="M202" t="str">
        <f>[1]!'4119.TW-ExchangeIndustry'</f>
        <v>上市化學生技醫療,上市生技醫療</v>
      </c>
      <c r="N202" t="str">
        <f>[1]!'4119.TW-Capital'</f>
        <v>9.54</v>
      </c>
      <c r="O202" t="str">
        <f>[1]!'4119.TW-Time'</f>
        <v>10:08:52</v>
      </c>
    </row>
    <row r="203" spans="1:15" x14ac:dyDescent="0.25">
      <c r="A203" t="str">
        <f>[1]!'4133.TW-ID'</f>
        <v>4133</v>
      </c>
      <c r="B203" t="str">
        <f>[1]!'4133.TW-Name'</f>
        <v>亞諾法</v>
      </c>
      <c r="C203">
        <f>[1]!'4133.TW-Price'</f>
        <v>36.4</v>
      </c>
      <c r="D203">
        <f>[1]!'4133.TW-AvgPrice'</f>
        <v>36.549999999999997</v>
      </c>
      <c r="E203">
        <f>[1]!'4133.TW-PriceChangeRatio'</f>
        <v>-2.15</v>
      </c>
      <c r="F203" t="str">
        <f>[1]!'4133.TW-InOutRatioNumber'</f>
        <v>21.05%</v>
      </c>
      <c r="G203">
        <f>[1]!'4133.TW-PreTotalVolumeRate'</f>
        <v>0.35</v>
      </c>
      <c r="H203">
        <f>[1]!'4133.TW-VolumeRatio'</f>
        <v>0.81</v>
      </c>
      <c r="I203">
        <f>[1]!'4133.TW-5DayAvgVol'</f>
        <v>639</v>
      </c>
      <c r="J203">
        <f>[1]!'4133.TW-DXLOrderOutValueRatio'</f>
        <v>0</v>
      </c>
      <c r="K203">
        <f>[1]!'4133.TW-DXLOrderValueDiffRatio'</f>
        <v>0</v>
      </c>
      <c r="L203">
        <f>[1]!'4133.TW-DLOrderValueDiffRatio'</f>
        <v>-15.8</v>
      </c>
      <c r="M203" t="str">
        <f>[1]!'4133.TW-ExchangeIndustry'</f>
        <v>上市化學生技醫療,上市生技醫療</v>
      </c>
      <c r="N203" t="str">
        <f>[1]!'4133.TW-Capital'</f>
        <v>6.06</v>
      </c>
      <c r="O203" t="str">
        <f>[1]!'4133.TW-Time'</f>
        <v>10:14:44</v>
      </c>
    </row>
    <row r="204" spans="1:15" x14ac:dyDescent="0.25">
      <c r="A204" t="str">
        <f>[1]!'4137.TW-ID'</f>
        <v>4137</v>
      </c>
      <c r="B204" t="str">
        <f>[1]!'4137.TW-Name'</f>
        <v>麗豐-KY</v>
      </c>
      <c r="C204">
        <f>[1]!'4137.TW-Price'</f>
        <v>229</v>
      </c>
      <c r="D204">
        <f>[1]!'4137.TW-AvgPrice'</f>
        <v>227.52</v>
      </c>
      <c r="E204">
        <f>[1]!'4137.TW-PriceChangeRatio'</f>
        <v>1.55</v>
      </c>
      <c r="F204" t="str">
        <f>[1]!'4137.TW-InOutRatioNumber'</f>
        <v>68.13%</v>
      </c>
      <c r="G204">
        <f>[1]!'4137.TW-PreTotalVolumeRate'</f>
        <v>0.55000000000000004</v>
      </c>
      <c r="H204">
        <f>[1]!'4137.TW-VolumeRatio'</f>
        <v>0.85</v>
      </c>
      <c r="I204">
        <f>[1]!'4137.TW-5DayAvgVol'</f>
        <v>495</v>
      </c>
      <c r="J204">
        <f>[1]!'4137.TW-DXLOrderOutValueRatio'</f>
        <v>0</v>
      </c>
      <c r="K204">
        <f>[1]!'4137.TW-DXLOrderValueDiffRatio'</f>
        <v>0</v>
      </c>
      <c r="L204">
        <f>[1]!'4137.TW-DLOrderValueDiffRatio'</f>
        <v>10.83</v>
      </c>
      <c r="M204" t="str">
        <f>[1]!'4137.TW-ExchangeIndustry'</f>
        <v>上市化學生技醫療,上市生技醫療</v>
      </c>
      <c r="N204" t="str">
        <f>[1]!'4137.TW-Capital'</f>
        <v>7.95</v>
      </c>
      <c r="O204" t="str">
        <f>[1]!'4137.TW-Time'</f>
        <v>10:13:49</v>
      </c>
    </row>
    <row r="205" spans="1:15" x14ac:dyDescent="0.25">
      <c r="A205" t="str">
        <f>[1]!'4141.TW-ID'</f>
        <v>4141</v>
      </c>
      <c r="B205" t="str">
        <f>[1]!'4141.TW-Name'</f>
        <v>龍燈-KY</v>
      </c>
      <c r="C205">
        <f>[1]!'4141.TW-Price'</f>
        <v>28.1</v>
      </c>
      <c r="D205">
        <f>[1]!'4141.TW-AvgPrice'</f>
        <v>27.66</v>
      </c>
      <c r="E205">
        <f>[1]!'4141.TW-PriceChangeRatio'</f>
        <v>-5.39</v>
      </c>
      <c r="F205" t="str">
        <f>[1]!'4141.TW-InOutRatioNumber'</f>
        <v>44.49%</v>
      </c>
      <c r="G205">
        <f>[1]!'4141.TW-PreTotalVolumeRate'</f>
        <v>0.61</v>
      </c>
      <c r="H205">
        <f>[1]!'4141.TW-VolumeRatio'</f>
        <v>1.18</v>
      </c>
      <c r="I205">
        <f>[1]!'4141.TW-5DayAvgVol'</f>
        <v>3806</v>
      </c>
      <c r="J205">
        <f>[1]!'4141.TW-DXLOrderOutValueRatio'</f>
        <v>0</v>
      </c>
      <c r="K205">
        <f>[1]!'4141.TW-DXLOrderValueDiffRatio'</f>
        <v>0</v>
      </c>
      <c r="L205">
        <f>[1]!'4141.TW-DLOrderValueDiffRatio'</f>
        <v>0</v>
      </c>
      <c r="M205" t="str">
        <f>[1]!'4141.TW-ExchangeIndustry'</f>
        <v>上市化學生技醫療,上市生技醫療</v>
      </c>
      <c r="N205" t="str">
        <f>[1]!'4141.TW-Capital'</f>
        <v>17.68</v>
      </c>
      <c r="O205" t="str">
        <f>[1]!'4141.TW-Time'</f>
        <v>10:15:10</v>
      </c>
    </row>
    <row r="206" spans="1:15" x14ac:dyDescent="0.25">
      <c r="A206" t="str">
        <f>[1]!'4142.TW-ID'</f>
        <v>4142</v>
      </c>
      <c r="B206" t="str">
        <f>[1]!'4142.TW-Name'</f>
        <v>國光生</v>
      </c>
      <c r="C206">
        <f>[1]!'4142.TW-Price'</f>
        <v>43.9</v>
      </c>
      <c r="D206">
        <f>[1]!'4142.TW-AvgPrice'</f>
        <v>43.86</v>
      </c>
      <c r="E206">
        <f>[1]!'4142.TW-PriceChangeRatio'</f>
        <v>-0.11</v>
      </c>
      <c r="F206" t="str">
        <f>[1]!'4142.TW-InOutRatioNumber'</f>
        <v>41.30%</v>
      </c>
      <c r="G206">
        <f>[1]!'4142.TW-PreTotalVolumeRate'</f>
        <v>0.41</v>
      </c>
      <c r="H206">
        <f>[1]!'4142.TW-VolumeRatio'</f>
        <v>0.98</v>
      </c>
      <c r="I206">
        <f>[1]!'4142.TW-5DayAvgVol'</f>
        <v>3370</v>
      </c>
      <c r="J206">
        <f>[1]!'4142.TW-DXLOrderOutValueRatio'</f>
        <v>3.77</v>
      </c>
      <c r="K206">
        <f>[1]!'4142.TW-DXLOrderValueDiffRatio'</f>
        <v>3.77</v>
      </c>
      <c r="L206">
        <f>[1]!'4142.TW-DLOrderValueDiffRatio'</f>
        <v>2.4700000000000002</v>
      </c>
      <c r="M206" t="str">
        <f>[1]!'4142.TW-ExchangeIndustry'</f>
        <v>上市化學生技醫療,上市生技醫療</v>
      </c>
      <c r="N206" t="str">
        <f>[1]!'4142.TW-Capital'</f>
        <v>42.95</v>
      </c>
      <c r="O206" t="str">
        <f>[1]!'4142.TW-Time'</f>
        <v>10:14:53</v>
      </c>
    </row>
    <row r="207" spans="1:15" x14ac:dyDescent="0.25">
      <c r="A207" t="str">
        <f>[1]!'4148.TW-ID'</f>
        <v>4148</v>
      </c>
      <c r="B207" t="str">
        <f>[1]!'4148.TW-Name'</f>
        <v>全宇生技-KY</v>
      </c>
      <c r="C207">
        <f>[1]!'4148.TW-Price'</f>
        <v>38</v>
      </c>
      <c r="D207">
        <f>[1]!'4148.TW-AvgPrice'</f>
        <v>37.78</v>
      </c>
      <c r="E207">
        <f>[1]!'4148.TW-PriceChangeRatio'</f>
        <v>0.53</v>
      </c>
      <c r="F207" t="str">
        <f>[1]!'4148.TW-InOutRatioNumber'</f>
        <v>100.00%</v>
      </c>
      <c r="G207">
        <f>[1]!'4148.TW-PreTotalVolumeRate'</f>
        <v>0.2</v>
      </c>
      <c r="H207">
        <f>[1]!'4148.TW-VolumeRatio'</f>
        <v>0.39</v>
      </c>
      <c r="I207">
        <f>[1]!'4148.TW-5DayAvgVol'</f>
        <v>55</v>
      </c>
      <c r="J207">
        <f>[1]!'4148.TW-DXLOrderOutValueRatio'</f>
        <v>0</v>
      </c>
      <c r="K207">
        <f>[1]!'4148.TW-DXLOrderValueDiffRatio'</f>
        <v>0</v>
      </c>
      <c r="L207">
        <f>[1]!'4148.TW-DLOrderValueDiffRatio'</f>
        <v>0</v>
      </c>
      <c r="M207" t="str">
        <f>[1]!'4148.TW-ExchangeIndustry'</f>
        <v>上市化學生技醫療,上市生技醫療</v>
      </c>
      <c r="N207" t="str">
        <f>[1]!'4148.TW-Capital'</f>
        <v>6.40</v>
      </c>
      <c r="O207" t="str">
        <f>[1]!'4148.TW-Time'</f>
        <v>10:08:28</v>
      </c>
    </row>
    <row r="208" spans="1:15" x14ac:dyDescent="0.25">
      <c r="A208" t="str">
        <f>[1]!'4155.TW-ID'</f>
        <v>4155</v>
      </c>
      <c r="B208" t="str">
        <f>[1]!'4155.TW-Name'</f>
        <v>訊映</v>
      </c>
      <c r="C208">
        <f>[1]!'4155.TW-Price'</f>
        <v>23</v>
      </c>
      <c r="D208">
        <f>[1]!'4155.TW-AvgPrice'</f>
        <v>22.99</v>
      </c>
      <c r="E208">
        <f>[1]!'4155.TW-PriceChangeRatio'</f>
        <v>0.66</v>
      </c>
      <c r="F208" t="str">
        <f>[1]!'4155.TW-InOutRatioNumber'</f>
        <v>75.56%</v>
      </c>
      <c r="G208">
        <f>[1]!'4155.TW-PreTotalVolumeRate'</f>
        <v>0.55000000000000004</v>
      </c>
      <c r="H208">
        <f>[1]!'4155.TW-VolumeRatio'</f>
        <v>2.0699999999999998</v>
      </c>
      <c r="I208">
        <f>[1]!'4155.TW-5DayAvgVol'</f>
        <v>124</v>
      </c>
      <c r="J208">
        <f>[1]!'4155.TW-DXLOrderOutValueRatio'</f>
        <v>0</v>
      </c>
      <c r="K208">
        <f>[1]!'4155.TW-DXLOrderValueDiffRatio'</f>
        <v>0</v>
      </c>
      <c r="L208">
        <f>[1]!'4155.TW-DLOrderValueDiffRatio'</f>
        <v>0</v>
      </c>
      <c r="M208" t="str">
        <f>[1]!'4155.TW-ExchangeIndustry'</f>
        <v>上市化學生技醫療,上市生技醫療</v>
      </c>
      <c r="N208" t="str">
        <f>[1]!'4155.TW-Capital'</f>
        <v>9.49</v>
      </c>
      <c r="O208" t="str">
        <f>[1]!'4155.TW-Time'</f>
        <v>10:10:59</v>
      </c>
    </row>
    <row r="209" spans="1:15" x14ac:dyDescent="0.25">
      <c r="A209" t="str">
        <f>[1]!'4164.TW-ID'</f>
        <v>4164</v>
      </c>
      <c r="B209" t="str">
        <f>[1]!'4164.TW-Name'</f>
        <v>承業醫</v>
      </c>
      <c r="C209">
        <f>[1]!'4164.TW-Price'</f>
        <v>36.85</v>
      </c>
      <c r="D209">
        <f>[1]!'4164.TW-AvgPrice'</f>
        <v>36.69</v>
      </c>
      <c r="E209">
        <f>[1]!'4164.TW-PriceChangeRatio'</f>
        <v>0.82</v>
      </c>
      <c r="F209" t="str">
        <f>[1]!'4164.TW-InOutRatioNumber'</f>
        <v>68.42%</v>
      </c>
      <c r="G209">
        <f>[1]!'4164.TW-PreTotalVolumeRate'</f>
        <v>0.45</v>
      </c>
      <c r="H209">
        <f>[1]!'4164.TW-VolumeRatio'</f>
        <v>1.25</v>
      </c>
      <c r="I209">
        <f>[1]!'4164.TW-5DayAvgVol'</f>
        <v>171</v>
      </c>
      <c r="J209">
        <f>[1]!'4164.TW-DXLOrderOutValueRatio'</f>
        <v>0</v>
      </c>
      <c r="K209">
        <f>[1]!'4164.TW-DXLOrderValueDiffRatio'</f>
        <v>0</v>
      </c>
      <c r="L209">
        <f>[1]!'4164.TW-DLOrderValueDiffRatio'</f>
        <v>0</v>
      </c>
      <c r="M209" t="str">
        <f>[1]!'4164.TW-ExchangeIndustry'</f>
        <v>上市化學生技醫療,上市生技醫療</v>
      </c>
      <c r="N209" t="str">
        <f>[1]!'4164.TW-Capital'</f>
        <v>16.10</v>
      </c>
      <c r="O209" t="str">
        <f>[1]!'4164.TW-Time'</f>
        <v>10:14:12</v>
      </c>
    </row>
    <row r="210" spans="1:15" x14ac:dyDescent="0.25">
      <c r="A210" t="str">
        <f>[1]!'4190.TW-ID'</f>
        <v>4190</v>
      </c>
      <c r="B210" t="str">
        <f>[1]!'4190.TW-Name'</f>
        <v>佐登-KY</v>
      </c>
      <c r="C210">
        <f>[1]!'4190.TW-Price'</f>
        <v>72.5</v>
      </c>
      <c r="D210">
        <f>[1]!'4190.TW-AvgPrice'</f>
        <v>72.53</v>
      </c>
      <c r="E210">
        <f>[1]!'4190.TW-PriceChangeRatio'</f>
        <v>0</v>
      </c>
      <c r="F210" t="str">
        <f>[1]!'4190.TW-InOutRatioNumber'</f>
        <v>71.43%</v>
      </c>
      <c r="G210">
        <f>[1]!'4190.TW-PreTotalVolumeRate'</f>
        <v>1.88</v>
      </c>
      <c r="H210">
        <f>[1]!'4190.TW-VolumeRatio'</f>
        <v>4.22</v>
      </c>
      <c r="I210">
        <f>[1]!'4190.TW-5DayAvgVol'</f>
        <v>38</v>
      </c>
      <c r="J210">
        <f>[1]!'4190.TW-DXLOrderOutValueRatio'</f>
        <v>0</v>
      </c>
      <c r="K210">
        <f>[1]!'4190.TW-DXLOrderValueDiffRatio'</f>
        <v>0</v>
      </c>
      <c r="L210">
        <f>[1]!'4190.TW-DLOrderValueDiffRatio'</f>
        <v>0</v>
      </c>
      <c r="M210" t="str">
        <f>[1]!'4190.TW-ExchangeIndustry'</f>
        <v>上市化學生技醫療,上市生技醫療</v>
      </c>
      <c r="N210" t="str">
        <f>[1]!'4190.TW-Capital'</f>
        <v>6.09</v>
      </c>
      <c r="O210" t="str">
        <f>[1]!'4190.TW-Time'</f>
        <v>10:04:17</v>
      </c>
    </row>
    <row r="211" spans="1:15" x14ac:dyDescent="0.25">
      <c r="A211" t="str">
        <f>[1]!'4737.TW-ID'</f>
        <v>4737</v>
      </c>
      <c r="B211" t="str">
        <f>[1]!'4737.TW-Name'</f>
        <v>華廣</v>
      </c>
      <c r="C211">
        <f>[1]!'4737.TW-Price'</f>
        <v>68</v>
      </c>
      <c r="D211">
        <f>[1]!'4737.TW-AvgPrice'</f>
        <v>68</v>
      </c>
      <c r="E211">
        <f>[1]!'4737.TW-PriceChangeRatio'</f>
        <v>-0.28999999999999998</v>
      </c>
      <c r="F211" t="str">
        <f>[1]!'4737.TW-InOutRatioNumber'</f>
        <v>0.00%</v>
      </c>
      <c r="G211">
        <f>[1]!'4737.TW-PreTotalVolumeRate'</f>
        <v>0.04</v>
      </c>
      <c r="H211">
        <f>[1]!'4737.TW-VolumeRatio'</f>
        <v>0</v>
      </c>
      <c r="I211">
        <f>[1]!'4737.TW-5DayAvgVol'</f>
        <v>15</v>
      </c>
      <c r="J211">
        <f>[1]!'4737.TW-DXLOrderOutValueRatio'</f>
        <v>0</v>
      </c>
      <c r="K211">
        <f>[1]!'4737.TW-DXLOrderValueDiffRatio'</f>
        <v>0</v>
      </c>
      <c r="L211">
        <f>[1]!'4737.TW-DLOrderValueDiffRatio'</f>
        <v>0</v>
      </c>
      <c r="M211" t="str">
        <f>[1]!'4737.TW-ExchangeIndustry'</f>
        <v>上市化學生技醫療,上市生技醫療</v>
      </c>
      <c r="N211" t="str">
        <f>[1]!'4737.TW-Capital'</f>
        <v>6.23</v>
      </c>
      <c r="O211" t="str">
        <f>[1]!'4737.TW-Time'</f>
        <v>09:54:21</v>
      </c>
    </row>
    <row r="212" spans="1:15" x14ac:dyDescent="0.25">
      <c r="A212" t="str">
        <f>[1]!'4746.TW-ID'</f>
        <v>4746</v>
      </c>
      <c r="B212" t="str">
        <f>[1]!'4746.TW-Name'</f>
        <v>台耀</v>
      </c>
      <c r="C212">
        <f>[1]!'4746.TW-Price'</f>
        <v>58.8</v>
      </c>
      <c r="D212">
        <f>[1]!'4746.TW-AvgPrice'</f>
        <v>58.97</v>
      </c>
      <c r="E212">
        <f>[1]!'4746.TW-PriceChangeRatio'</f>
        <v>-0.51</v>
      </c>
      <c r="F212" t="str">
        <f>[1]!'4746.TW-InOutRatioNumber'</f>
        <v>42.66%</v>
      </c>
      <c r="G212">
        <f>[1]!'4746.TW-PreTotalVolumeRate'</f>
        <v>0.28999999999999998</v>
      </c>
      <c r="H212">
        <f>[1]!'4746.TW-VolumeRatio'</f>
        <v>0.67</v>
      </c>
      <c r="I212">
        <f>[1]!'4746.TW-5DayAvgVol'</f>
        <v>1030</v>
      </c>
      <c r="J212">
        <f>[1]!'4746.TW-DXLOrderOutValueRatio'</f>
        <v>0</v>
      </c>
      <c r="K212">
        <f>[1]!'4746.TW-DXLOrderValueDiffRatio'</f>
        <v>-13.67</v>
      </c>
      <c r="L212">
        <f>[1]!'4746.TW-DLOrderValueDiffRatio'</f>
        <v>0</v>
      </c>
      <c r="M212" t="str">
        <f>[1]!'4746.TW-ExchangeIndustry'</f>
        <v>上市化學生技醫療,上市生技醫療</v>
      </c>
      <c r="N212" t="str">
        <f>[1]!'4746.TW-Capital'</f>
        <v>12.03</v>
      </c>
      <c r="O212" t="str">
        <f>[1]!'4746.TW-Time'</f>
        <v>10:13:42</v>
      </c>
    </row>
    <row r="213" spans="1:15" x14ac:dyDescent="0.25">
      <c r="A213" t="str">
        <f>[1]!'6491.TW-ID'</f>
        <v>6491</v>
      </c>
      <c r="B213" t="str">
        <f>[1]!'6491.TW-Name'</f>
        <v>晶碩</v>
      </c>
      <c r="C213">
        <f>[1]!'6491.TW-Price'</f>
        <v>525</v>
      </c>
      <c r="D213">
        <f>[1]!'6491.TW-AvgPrice'</f>
        <v>527.92999999999995</v>
      </c>
      <c r="E213">
        <f>[1]!'6491.TW-PriceChangeRatio'</f>
        <v>-2.96</v>
      </c>
      <c r="F213" t="str">
        <f>[1]!'6491.TW-InOutRatioNumber'</f>
        <v>39.15%</v>
      </c>
      <c r="G213">
        <f>[1]!'6491.TW-PreTotalVolumeRate'</f>
        <v>0.32</v>
      </c>
      <c r="H213">
        <f>[1]!'6491.TW-VolumeRatio'</f>
        <v>0.65</v>
      </c>
      <c r="I213">
        <f>[1]!'6491.TW-5DayAvgVol'</f>
        <v>680</v>
      </c>
      <c r="J213">
        <f>[1]!'6491.TW-DXLOrderOutValueRatio'</f>
        <v>0</v>
      </c>
      <c r="K213">
        <f>[1]!'6491.TW-DXLOrderValueDiffRatio'</f>
        <v>-5.66</v>
      </c>
      <c r="L213">
        <f>[1]!'6491.TW-DLOrderValueDiffRatio'</f>
        <v>-7.34</v>
      </c>
      <c r="M213" t="str">
        <f>[1]!'6491.TW-ExchangeIndustry'</f>
        <v>上市化學生技醫療,上市生技醫療</v>
      </c>
      <c r="N213" t="str">
        <f>[1]!'6491.TW-Capital'</f>
        <v>7.00</v>
      </c>
      <c r="O213" t="str">
        <f>[1]!'6491.TW-Time'</f>
        <v>10:14:45</v>
      </c>
    </row>
    <row r="214" spans="1:15" x14ac:dyDescent="0.25">
      <c r="A214" t="str">
        <f>[1]!'6541.TW-ID'</f>
        <v>6541</v>
      </c>
      <c r="B214" t="str">
        <f>[1]!'6541.TW-Name'</f>
        <v>泰福-KY</v>
      </c>
      <c r="C214">
        <f>[1]!'6541.TW-Price'</f>
        <v>46.55</v>
      </c>
      <c r="D214">
        <f>[1]!'6541.TW-AvgPrice'</f>
        <v>46.55</v>
      </c>
      <c r="E214">
        <f>[1]!'6541.TW-PriceChangeRatio'</f>
        <v>9.92</v>
      </c>
      <c r="F214" t="str">
        <f>[1]!'6541.TW-InOutRatioNumber'</f>
        <v>100.00%</v>
      </c>
      <c r="G214">
        <f>[1]!'6541.TW-PreTotalVolumeRate'</f>
        <v>2.74</v>
      </c>
      <c r="H214">
        <f>[1]!'6541.TW-VolumeRatio'</f>
        <v>5.46</v>
      </c>
      <c r="I214">
        <f>[1]!'6541.TW-5DayAvgVol'</f>
        <v>381</v>
      </c>
      <c r="J214">
        <f>[1]!'6541.TW-DXLOrderOutValueRatio'</f>
        <v>23.94</v>
      </c>
      <c r="K214">
        <f>[1]!'6541.TW-DXLOrderValueDiffRatio'</f>
        <v>23.94</v>
      </c>
      <c r="L214">
        <f>[1]!'6541.TW-DLOrderValueDiffRatio'</f>
        <v>6.68</v>
      </c>
      <c r="M214" t="str">
        <f>[1]!'6541.TW-ExchangeIndustry'</f>
        <v>上市化學生技醫療,上市生技醫療</v>
      </c>
      <c r="N214" t="str">
        <f>[1]!'6541.TW-Capital'</f>
        <v>35.24</v>
      </c>
      <c r="O214" t="str">
        <f>[1]!'6541.TW-Time'</f>
        <v>10:14:16</v>
      </c>
    </row>
    <row r="215" spans="1:15" x14ac:dyDescent="0.25">
      <c r="A215" t="str">
        <f>[1]!'6598.TW-ID'</f>
        <v>6598</v>
      </c>
      <c r="B215" t="str">
        <f>[1]!'6598.TW-Name'</f>
        <v>ABC-KY</v>
      </c>
      <c r="C215">
        <f>[1]!'6598.TW-Price'</f>
        <v>31.7</v>
      </c>
      <c r="D215">
        <f>[1]!'6598.TW-AvgPrice'</f>
        <v>32.22</v>
      </c>
      <c r="E215">
        <f>[1]!'6598.TW-PriceChangeRatio'</f>
        <v>-0.63</v>
      </c>
      <c r="F215" t="str">
        <f>[1]!'6598.TW-InOutRatioNumber'</f>
        <v>25.93%</v>
      </c>
      <c r="G215">
        <f>[1]!'6598.TW-PreTotalVolumeRate'</f>
        <v>0.54</v>
      </c>
      <c r="H215">
        <f>[1]!'6598.TW-VolumeRatio'</f>
        <v>1.54</v>
      </c>
      <c r="I215">
        <f>[1]!'6598.TW-5DayAvgVol'</f>
        <v>99</v>
      </c>
      <c r="J215">
        <f>[1]!'6598.TW-DXLOrderOutValueRatio'</f>
        <v>0</v>
      </c>
      <c r="K215">
        <f>[1]!'6598.TW-DXLOrderValueDiffRatio'</f>
        <v>0</v>
      </c>
      <c r="L215">
        <f>[1]!'6598.TW-DLOrderValueDiffRatio'</f>
        <v>0</v>
      </c>
      <c r="M215" t="str">
        <f>[1]!'6598.TW-ExchangeIndustry'</f>
        <v>上市化學生技醫療,上市生技醫療</v>
      </c>
      <c r="N215" t="str">
        <f>[1]!'6598.TW-Capital'</f>
        <v>8.18</v>
      </c>
      <c r="O215" t="str">
        <f>[1]!'6598.TW-Time'</f>
        <v>10:07:43</v>
      </c>
    </row>
    <row r="216" spans="1:15" x14ac:dyDescent="0.25">
      <c r="A216" t="str">
        <f>[1]!'6666.TW-ID'</f>
        <v>6666</v>
      </c>
      <c r="B216" t="str">
        <f>[1]!'6666.TW-Name'</f>
        <v>羅麗芬-KY</v>
      </c>
      <c r="C216">
        <f>[1]!'6666.TW-Price'</f>
        <v>64.2</v>
      </c>
      <c r="D216">
        <f>[1]!'6666.TW-AvgPrice'</f>
        <v>64.12</v>
      </c>
      <c r="E216">
        <f>[1]!'6666.TW-PriceChangeRatio'</f>
        <v>-1.98</v>
      </c>
      <c r="F216" t="str">
        <f>[1]!'6666.TW-InOutRatioNumber'</f>
        <v>25.00%</v>
      </c>
      <c r="G216">
        <f>[1]!'6666.TW-PreTotalVolumeRate'</f>
        <v>0.41</v>
      </c>
      <c r="H216">
        <f>[1]!'6666.TW-VolumeRatio'</f>
        <v>0</v>
      </c>
      <c r="I216">
        <f>[1]!'6666.TW-5DayAvgVol'</f>
        <v>23</v>
      </c>
      <c r="J216">
        <f>[1]!'6666.TW-DXLOrderOutValueRatio'</f>
        <v>0</v>
      </c>
      <c r="K216">
        <f>[1]!'6666.TW-DXLOrderValueDiffRatio'</f>
        <v>0</v>
      </c>
      <c r="L216">
        <f>[1]!'6666.TW-DLOrderValueDiffRatio'</f>
        <v>0</v>
      </c>
      <c r="M216" t="str">
        <f>[1]!'6666.TW-ExchangeIndustry'</f>
        <v>上市化學生技醫療,上市生技醫療</v>
      </c>
      <c r="N216" t="str">
        <f>[1]!'6666.TW-Capital'</f>
        <v>4.74</v>
      </c>
      <c r="O216" t="str">
        <f>[1]!'6666.TW-Time'</f>
        <v>10:06:10</v>
      </c>
    </row>
    <row r="217" spans="1:15" x14ac:dyDescent="0.25">
      <c r="A217" t="str">
        <f>[1]!'1802.TW-ID'</f>
        <v>1802</v>
      </c>
      <c r="B217" t="str">
        <f>[1]!'1802.TW-Name'</f>
        <v>台玻</v>
      </c>
      <c r="C217">
        <f>[1]!'1802.TW-Price'</f>
        <v>27.1</v>
      </c>
      <c r="D217">
        <f>[1]!'1802.TW-AvgPrice'</f>
        <v>27.33</v>
      </c>
      <c r="E217">
        <f>[1]!'1802.TW-PriceChangeRatio'</f>
        <v>-2.34</v>
      </c>
      <c r="F217" t="str">
        <f>[1]!'1802.TW-InOutRatioNumber'</f>
        <v>29.45%</v>
      </c>
      <c r="G217">
        <f>[1]!'1802.TW-PreTotalVolumeRate'</f>
        <v>0.35</v>
      </c>
      <c r="H217">
        <f>[1]!'1802.TW-VolumeRatio'</f>
        <v>0.82</v>
      </c>
      <c r="I217">
        <f>[1]!'1802.TW-5DayAvgVol'</f>
        <v>12299</v>
      </c>
      <c r="J217">
        <f>[1]!'1802.TW-DXLOrderOutValueRatio'</f>
        <v>2.83</v>
      </c>
      <c r="K217">
        <f>[1]!'1802.TW-DXLOrderValueDiffRatio'</f>
        <v>-24.24</v>
      </c>
      <c r="L217">
        <f>[1]!'1802.TW-DLOrderValueDiffRatio'</f>
        <v>-13.31</v>
      </c>
      <c r="M217" t="str">
        <f>[1]!'1802.TW-ExchangeIndustry'</f>
        <v>上市玻璃陶瓷</v>
      </c>
      <c r="N217" t="str">
        <f>[1]!'1802.TW-Capital'</f>
        <v>290.81</v>
      </c>
      <c r="O217" t="str">
        <f>[1]!'1802.TW-Time'</f>
        <v>10:15:15</v>
      </c>
    </row>
    <row r="218" spans="1:15" x14ac:dyDescent="0.25">
      <c r="A218" t="str">
        <f>[1]!'1806.TW-ID'</f>
        <v>1806</v>
      </c>
      <c r="B218" t="str">
        <f>[1]!'1806.TW-Name'</f>
        <v>冠軍</v>
      </c>
      <c r="C218">
        <f>[1]!'1806.TW-Price'</f>
        <v>10.7</v>
      </c>
      <c r="D218">
        <f>[1]!'1806.TW-AvgPrice'</f>
        <v>10.68</v>
      </c>
      <c r="E218">
        <f>[1]!'1806.TW-PriceChangeRatio'</f>
        <v>0.94</v>
      </c>
      <c r="F218" t="str">
        <f>[1]!'1806.TW-InOutRatioNumber'</f>
        <v>71.43%</v>
      </c>
      <c r="G218">
        <f>[1]!'1806.TW-PreTotalVolumeRate'</f>
        <v>0.11</v>
      </c>
      <c r="H218">
        <f>[1]!'1806.TW-VolumeRatio'</f>
        <v>0.32</v>
      </c>
      <c r="I218">
        <f>[1]!'1806.TW-5DayAvgVol'</f>
        <v>873</v>
      </c>
      <c r="J218">
        <f>[1]!'1806.TW-DXLOrderOutValueRatio'</f>
        <v>0</v>
      </c>
      <c r="K218">
        <f>[1]!'1806.TW-DXLOrderValueDiffRatio'</f>
        <v>0</v>
      </c>
      <c r="L218">
        <f>[1]!'1806.TW-DLOrderValueDiffRatio'</f>
        <v>0</v>
      </c>
      <c r="M218" t="str">
        <f>[1]!'1806.TW-ExchangeIndustry'</f>
        <v>上市玻璃陶瓷</v>
      </c>
      <c r="N218" t="str">
        <f>[1]!'1806.TW-Capital'</f>
        <v>43.38</v>
      </c>
      <c r="O218" t="str">
        <f>[1]!'1806.TW-Time'</f>
        <v>10:13:29</v>
      </c>
    </row>
    <row r="219" spans="1:15" x14ac:dyDescent="0.25">
      <c r="A219" t="str">
        <f>[1]!'1809.TW-ID'</f>
        <v>1809</v>
      </c>
      <c r="B219" t="str">
        <f>[1]!'1809.TW-Name'</f>
        <v>中釉</v>
      </c>
      <c r="C219">
        <f>[1]!'1809.TW-Price'</f>
        <v>14.25</v>
      </c>
      <c r="D219">
        <f>[1]!'1809.TW-AvgPrice'</f>
        <v>14.22</v>
      </c>
      <c r="E219">
        <f>[1]!'1809.TW-PriceChangeRatio'</f>
        <v>0</v>
      </c>
      <c r="F219" t="str">
        <f>[1]!'1809.TW-InOutRatioNumber'</f>
        <v>37.90%</v>
      </c>
      <c r="G219">
        <f>[1]!'1809.TW-PreTotalVolumeRate'</f>
        <v>0.06</v>
      </c>
      <c r="H219">
        <f>[1]!'1809.TW-VolumeRatio'</f>
        <v>0.13</v>
      </c>
      <c r="I219">
        <f>[1]!'1809.TW-5DayAvgVol'</f>
        <v>3948</v>
      </c>
      <c r="J219">
        <f>[1]!'1809.TW-DXLOrderOutValueRatio'</f>
        <v>0</v>
      </c>
      <c r="K219">
        <f>[1]!'1809.TW-DXLOrderValueDiffRatio'</f>
        <v>0</v>
      </c>
      <c r="L219">
        <f>[1]!'1809.TW-DLOrderValueDiffRatio'</f>
        <v>-16.52</v>
      </c>
      <c r="M219" t="str">
        <f>[1]!'1809.TW-ExchangeIndustry'</f>
        <v>上市玻璃陶瓷</v>
      </c>
      <c r="N219" t="str">
        <f>[1]!'1809.TW-Capital'</f>
        <v>16.70</v>
      </c>
      <c r="O219" t="str">
        <f>[1]!'1809.TW-Time'</f>
        <v>10:11:13</v>
      </c>
    </row>
    <row r="220" spans="1:15" x14ac:dyDescent="0.25">
      <c r="A220" t="str">
        <f>[1]!'1810.TW-ID'</f>
        <v>1810</v>
      </c>
      <c r="B220" t="str">
        <f>[1]!'1810.TW-Name'</f>
        <v>和成</v>
      </c>
      <c r="C220">
        <f>[1]!'1810.TW-Price'</f>
        <v>12.75</v>
      </c>
      <c r="D220">
        <f>[1]!'1810.TW-AvgPrice'</f>
        <v>12.83</v>
      </c>
      <c r="E220">
        <f>[1]!'1810.TW-PriceChangeRatio'</f>
        <v>-4.1399999999999997</v>
      </c>
      <c r="F220" t="str">
        <f>[1]!'1810.TW-InOutRatioNumber'</f>
        <v>30.57%</v>
      </c>
      <c r="G220">
        <f>[1]!'1810.TW-PreTotalVolumeRate'</f>
        <v>1.42</v>
      </c>
      <c r="H220">
        <f>[1]!'1810.TW-VolumeRatio'</f>
        <v>3.62</v>
      </c>
      <c r="I220">
        <f>[1]!'1810.TW-5DayAvgVol'</f>
        <v>3760</v>
      </c>
      <c r="J220">
        <f>[1]!'1810.TW-DXLOrderOutValueRatio'</f>
        <v>0</v>
      </c>
      <c r="K220">
        <f>[1]!'1810.TW-DXLOrderValueDiffRatio'</f>
        <v>-16.850000000000001</v>
      </c>
      <c r="L220">
        <f>[1]!'1810.TW-DLOrderValueDiffRatio'</f>
        <v>-10.33</v>
      </c>
      <c r="M220" t="str">
        <f>[1]!'1810.TW-ExchangeIndustry'</f>
        <v>上市玻璃陶瓷</v>
      </c>
      <c r="N220" t="str">
        <f>[1]!'1810.TW-Capital'</f>
        <v>36.99</v>
      </c>
      <c r="O220" t="str">
        <f>[1]!'1810.TW-Time'</f>
        <v>10:14:31</v>
      </c>
    </row>
    <row r="221" spans="1:15" x14ac:dyDescent="0.25">
      <c r="A221" t="str">
        <f>[1]!'1817.TW-ID'</f>
        <v>1817</v>
      </c>
      <c r="B221" t="str">
        <f>[1]!'1817.TW-Name'</f>
        <v>凱撒衛</v>
      </c>
      <c r="C221">
        <f>[1]!'1817.TW-Price'</f>
        <v>34.9</v>
      </c>
      <c r="D221">
        <f>[1]!'1817.TW-AvgPrice'</f>
        <v>34.950000000000003</v>
      </c>
      <c r="E221">
        <f>[1]!'1817.TW-PriceChangeRatio'</f>
        <v>0</v>
      </c>
      <c r="F221" t="str">
        <f>[1]!'1817.TW-InOutRatioNumber'</f>
        <v>0.00%</v>
      </c>
      <c r="G221">
        <f>[1]!'1817.TW-PreTotalVolumeRate'</f>
        <v>0.32</v>
      </c>
      <c r="H221">
        <f>[1]!'1817.TW-VolumeRatio'</f>
        <v>1.58</v>
      </c>
      <c r="I221">
        <f>[1]!'1817.TW-5DayAvgVol'</f>
        <v>26</v>
      </c>
      <c r="J221">
        <f>[1]!'1817.TW-DXLOrderOutValueRatio'</f>
        <v>0</v>
      </c>
      <c r="K221">
        <f>[1]!'1817.TW-DXLOrderValueDiffRatio'</f>
        <v>0</v>
      </c>
      <c r="L221">
        <f>[1]!'1817.TW-DLOrderValueDiffRatio'</f>
        <v>0</v>
      </c>
      <c r="M221" t="str">
        <f>[1]!'1817.TW-ExchangeIndustry'</f>
        <v>上市玻璃陶瓷</v>
      </c>
      <c r="N221" t="str">
        <f>[1]!'1817.TW-Capital'</f>
        <v>7.26</v>
      </c>
      <c r="O221" t="str">
        <f>[1]!'1817.TW-Time'</f>
        <v>10:04:43</v>
      </c>
    </row>
    <row r="222" spans="1:15" x14ac:dyDescent="0.25">
      <c r="A222" t="str">
        <f>[1]!'1903.TW-ID'</f>
        <v>1903</v>
      </c>
      <c r="B222" t="str">
        <f>[1]!'1903.TW-Name'</f>
        <v>士紙</v>
      </c>
      <c r="C222">
        <f>[1]!'1903.TW-Price'</f>
        <v>67.2</v>
      </c>
      <c r="D222">
        <f>[1]!'1903.TW-AvgPrice'</f>
        <v>67.62</v>
      </c>
      <c r="E222">
        <f>[1]!'1903.TW-PriceChangeRatio'</f>
        <v>0.3</v>
      </c>
      <c r="F222" t="str">
        <f>[1]!'1903.TW-InOutRatioNumber'</f>
        <v>61.90%</v>
      </c>
      <c r="G222">
        <f>[1]!'1903.TW-PreTotalVolumeRate'</f>
        <v>0.46</v>
      </c>
      <c r="H222">
        <f>[1]!'1903.TW-VolumeRatio'</f>
        <v>1.54</v>
      </c>
      <c r="I222">
        <f>[1]!'1903.TW-5DayAvgVol'</f>
        <v>324</v>
      </c>
      <c r="J222">
        <f>[1]!'1903.TW-DXLOrderOutValueRatio'</f>
        <v>23.8</v>
      </c>
      <c r="K222">
        <f>[1]!'1903.TW-DXLOrderValueDiffRatio'</f>
        <v>23.8</v>
      </c>
      <c r="L222">
        <f>[1]!'1903.TW-DLOrderValueDiffRatio'</f>
        <v>14.11</v>
      </c>
      <c r="M222" t="str">
        <f>[1]!'1903.TW-ExchangeIndustry'</f>
        <v>上市造紙</v>
      </c>
      <c r="N222" t="str">
        <f>[1]!'1903.TW-Capital'</f>
        <v>26.00</v>
      </c>
      <c r="O222" t="str">
        <f>[1]!'1903.TW-Time'</f>
        <v>10:09:09</v>
      </c>
    </row>
    <row r="223" spans="1:15" x14ac:dyDescent="0.25">
      <c r="A223" t="str">
        <f>[1]!'1904.TW-ID'</f>
        <v>1904</v>
      </c>
      <c r="B223" t="str">
        <f>[1]!'1904.TW-Name'</f>
        <v>正隆</v>
      </c>
      <c r="C223">
        <f>[1]!'1904.TW-Price'</f>
        <v>34.6</v>
      </c>
      <c r="D223">
        <f>[1]!'1904.TW-AvgPrice'</f>
        <v>34.630000000000003</v>
      </c>
      <c r="E223">
        <f>[1]!'1904.TW-PriceChangeRatio'</f>
        <v>2.06</v>
      </c>
      <c r="F223" t="str">
        <f>[1]!'1904.TW-InOutRatioNumber'</f>
        <v>53.40%</v>
      </c>
      <c r="G223">
        <f>[1]!'1904.TW-PreTotalVolumeRate'</f>
        <v>0.73</v>
      </c>
      <c r="H223">
        <f>[1]!'1904.TW-VolumeRatio'</f>
        <v>1.88</v>
      </c>
      <c r="I223">
        <f>[1]!'1904.TW-5DayAvgVol'</f>
        <v>2960</v>
      </c>
      <c r="J223">
        <f>[1]!'1904.TW-DXLOrderOutValueRatio'</f>
        <v>19.59</v>
      </c>
      <c r="K223">
        <f>[1]!'1904.TW-DXLOrderValueDiffRatio'</f>
        <v>8.48</v>
      </c>
      <c r="L223">
        <f>[1]!'1904.TW-DLOrderValueDiffRatio'</f>
        <v>0.86</v>
      </c>
      <c r="M223" t="str">
        <f>[1]!'1904.TW-ExchangeIndustry'</f>
        <v>上市造紙</v>
      </c>
      <c r="N223" t="str">
        <f>[1]!'1904.TW-Capital'</f>
        <v>110.83</v>
      </c>
      <c r="O223" t="str">
        <f>[1]!'1904.TW-Time'</f>
        <v>10:15:11</v>
      </c>
    </row>
    <row r="224" spans="1:15" x14ac:dyDescent="0.25">
      <c r="A224" t="str">
        <f>[1]!'1905.TW-ID'</f>
        <v>1905</v>
      </c>
      <c r="B224" t="str">
        <f>[1]!'1905.TW-Name'</f>
        <v>華紙</v>
      </c>
      <c r="C224">
        <f>[1]!'1905.TW-Price'</f>
        <v>22.4</v>
      </c>
      <c r="D224">
        <f>[1]!'1905.TW-AvgPrice'</f>
        <v>22.71</v>
      </c>
      <c r="E224">
        <f>[1]!'1905.TW-PriceChangeRatio'</f>
        <v>1.59</v>
      </c>
      <c r="F224" t="str">
        <f>[1]!'1905.TW-InOutRatioNumber'</f>
        <v>49.13%</v>
      </c>
      <c r="G224">
        <f>[1]!'1905.TW-PreTotalVolumeRate'</f>
        <v>1.81</v>
      </c>
      <c r="H224">
        <f>[1]!'1905.TW-VolumeRatio'</f>
        <v>3.95</v>
      </c>
      <c r="I224">
        <f>[1]!'1905.TW-5DayAvgVol'</f>
        <v>4836</v>
      </c>
      <c r="J224">
        <f>[1]!'1905.TW-DXLOrderOutValueRatio'</f>
        <v>12.19</v>
      </c>
      <c r="K224">
        <f>[1]!'1905.TW-DXLOrderValueDiffRatio'</f>
        <v>5.86</v>
      </c>
      <c r="L224">
        <f>[1]!'1905.TW-DLOrderValueDiffRatio'</f>
        <v>-5.36</v>
      </c>
      <c r="M224" t="str">
        <f>[1]!'1905.TW-ExchangeIndustry'</f>
        <v>上市造紙</v>
      </c>
      <c r="N224" t="str">
        <f>[1]!'1905.TW-Capital'</f>
        <v>110.28</v>
      </c>
      <c r="O224" t="str">
        <f>[1]!'1905.TW-Time'</f>
        <v>10:15:14</v>
      </c>
    </row>
    <row r="225" spans="1:15" x14ac:dyDescent="0.25">
      <c r="A225" t="str">
        <f>[1]!'1906.TW-ID'</f>
        <v>1906</v>
      </c>
      <c r="B225" t="str">
        <f>[1]!'1906.TW-Name'</f>
        <v>寶隆</v>
      </c>
      <c r="C225">
        <f>[1]!'1906.TW-Price'</f>
        <v>20.399999999999999</v>
      </c>
      <c r="D225">
        <f>[1]!'1906.TW-AvgPrice'</f>
        <v>20.39</v>
      </c>
      <c r="E225">
        <f>[1]!'1906.TW-PriceChangeRatio'</f>
        <v>1.49</v>
      </c>
      <c r="F225" t="str">
        <f>[1]!'1906.TW-InOutRatioNumber'</f>
        <v>49.10%</v>
      </c>
      <c r="G225">
        <f>[1]!'1906.TW-PreTotalVolumeRate'</f>
        <v>0.28999999999999998</v>
      </c>
      <c r="H225">
        <f>[1]!'1906.TW-VolumeRatio'</f>
        <v>0.95</v>
      </c>
      <c r="I225">
        <f>[1]!'1906.TW-5DayAvgVol'</f>
        <v>1121</v>
      </c>
      <c r="J225">
        <f>[1]!'1906.TW-DXLOrderOutValueRatio'</f>
        <v>0</v>
      </c>
      <c r="K225">
        <f>[1]!'1906.TW-DXLOrderValueDiffRatio'</f>
        <v>0</v>
      </c>
      <c r="L225">
        <f>[1]!'1906.TW-DLOrderValueDiffRatio'</f>
        <v>-7.25</v>
      </c>
      <c r="M225" t="str">
        <f>[1]!'1906.TW-ExchangeIndustry'</f>
        <v>上市造紙</v>
      </c>
      <c r="N225" t="str">
        <f>[1]!'1906.TW-Capital'</f>
        <v>15.10</v>
      </c>
      <c r="O225" t="str">
        <f>[1]!'1906.TW-Time'</f>
        <v>10:13:17</v>
      </c>
    </row>
    <row r="226" spans="1:15" x14ac:dyDescent="0.25">
      <c r="A226" t="str">
        <f>[1]!'1907.TW-ID'</f>
        <v>1907</v>
      </c>
      <c r="B226" t="str">
        <f>[1]!'1907.TW-Name'</f>
        <v>永豐餘</v>
      </c>
      <c r="C226">
        <f>[1]!'1907.TW-Price'</f>
        <v>31.55</v>
      </c>
      <c r="D226">
        <f>[1]!'1907.TW-AvgPrice'</f>
        <v>31.97</v>
      </c>
      <c r="E226">
        <f>[1]!'1907.TW-PriceChangeRatio'</f>
        <v>0.48</v>
      </c>
      <c r="F226" t="str">
        <f>[1]!'1907.TW-InOutRatioNumber'</f>
        <v>43.39%</v>
      </c>
      <c r="G226">
        <f>[1]!'1907.TW-PreTotalVolumeRate'</f>
        <v>1.1499999999999999</v>
      </c>
      <c r="H226">
        <f>[1]!'1907.TW-VolumeRatio'</f>
        <v>2.76</v>
      </c>
      <c r="I226">
        <f>[1]!'1907.TW-5DayAvgVol'</f>
        <v>3030</v>
      </c>
      <c r="J226">
        <f>[1]!'1907.TW-DXLOrderOutValueRatio'</f>
        <v>15.51</v>
      </c>
      <c r="K226">
        <f>[1]!'1907.TW-DXLOrderValueDiffRatio'</f>
        <v>1.4</v>
      </c>
      <c r="L226">
        <f>[1]!'1907.TW-DLOrderValueDiffRatio'</f>
        <v>-5.89</v>
      </c>
      <c r="M226" t="str">
        <f>[1]!'1907.TW-ExchangeIndustry'</f>
        <v>上市造紙</v>
      </c>
      <c r="N226" t="str">
        <f>[1]!'1907.TW-Capital'</f>
        <v>166.04</v>
      </c>
      <c r="O226" t="str">
        <f>[1]!'1907.TW-Time'</f>
        <v>10:15:10</v>
      </c>
    </row>
    <row r="227" spans="1:15" x14ac:dyDescent="0.25">
      <c r="A227" t="str">
        <f>[1]!'1909.TW-ID'</f>
        <v>1909</v>
      </c>
      <c r="B227" t="str">
        <f>[1]!'1909.TW-Name'</f>
        <v>榮成</v>
      </c>
      <c r="C227">
        <f>[1]!'1909.TW-Price'</f>
        <v>24</v>
      </c>
      <c r="D227">
        <f>[1]!'1909.TW-AvgPrice'</f>
        <v>24.17</v>
      </c>
      <c r="E227">
        <f>[1]!'1909.TW-PriceChangeRatio'</f>
        <v>1.69</v>
      </c>
      <c r="F227" t="str">
        <f>[1]!'1909.TW-InOutRatioNumber'</f>
        <v>46.07%</v>
      </c>
      <c r="G227">
        <f>[1]!'1909.TW-PreTotalVolumeRate'</f>
        <v>0.88</v>
      </c>
      <c r="H227">
        <f>[1]!'1909.TW-VolumeRatio'</f>
        <v>2.36</v>
      </c>
      <c r="I227">
        <f>[1]!'1909.TW-5DayAvgVol'</f>
        <v>10201</v>
      </c>
      <c r="J227">
        <f>[1]!'1909.TW-DXLOrderOutValueRatio'</f>
        <v>15.46</v>
      </c>
      <c r="K227">
        <f>[1]!'1909.TW-DXLOrderValueDiffRatio'</f>
        <v>-3.19</v>
      </c>
      <c r="L227">
        <f>[1]!'1909.TW-DLOrderValueDiffRatio'</f>
        <v>-5.31</v>
      </c>
      <c r="M227" t="str">
        <f>[1]!'1909.TW-ExchangeIndustry'</f>
        <v>上市造紙</v>
      </c>
      <c r="N227" t="str">
        <f>[1]!'1909.TW-Capital'</f>
        <v>127.77</v>
      </c>
      <c r="O227" t="str">
        <f>[1]!'1909.TW-Time'</f>
        <v>10:15:12</v>
      </c>
    </row>
    <row r="228" spans="1:15" x14ac:dyDescent="0.25">
      <c r="A228" t="str">
        <f>[1]!'6790.TW-ID'</f>
        <v>6790</v>
      </c>
      <c r="B228" t="str">
        <f>[1]!'6790.TW-Name'</f>
        <v>永豐實</v>
      </c>
      <c r="C228">
        <f>[1]!'6790.TW-Price'</f>
        <v>48.4</v>
      </c>
      <c r="D228">
        <f>[1]!'6790.TW-AvgPrice'</f>
        <v>48.48</v>
      </c>
      <c r="E228">
        <f>[1]!'6790.TW-PriceChangeRatio'</f>
        <v>-0.21</v>
      </c>
      <c r="F228" t="str">
        <f>[1]!'6790.TW-InOutRatioNumber'</f>
        <v>32.69%</v>
      </c>
      <c r="G228">
        <f>[1]!'6790.TW-PreTotalVolumeRate'</f>
        <v>0.34</v>
      </c>
      <c r="H228">
        <f>[1]!'6790.TW-VolumeRatio'</f>
        <v>0.86</v>
      </c>
      <c r="I228">
        <f>[1]!'6790.TW-5DayAvgVol'</f>
        <v>544</v>
      </c>
      <c r="J228">
        <f>[1]!'6790.TW-DXLOrderOutValueRatio'</f>
        <v>0</v>
      </c>
      <c r="K228">
        <f>[1]!'6790.TW-DXLOrderValueDiffRatio'</f>
        <v>-20.74</v>
      </c>
      <c r="L228">
        <f>[1]!'6790.TW-DLOrderValueDiffRatio'</f>
        <v>0</v>
      </c>
      <c r="M228" t="str">
        <f>[1]!'6790.TW-ExchangeIndustry'</f>
        <v>上市造紙</v>
      </c>
      <c r="N228" t="str">
        <f>[1]!'6790.TW-Capital'</f>
        <v>26.71</v>
      </c>
      <c r="O228" t="str">
        <f>[1]!'6790.TW-Time'</f>
        <v>10:14:55</v>
      </c>
    </row>
    <row r="229" spans="1:15" x14ac:dyDescent="0.25">
      <c r="A229" t="str">
        <f>[1]!'2002.TW-ID'</f>
        <v>2002</v>
      </c>
      <c r="B229" t="str">
        <f>[1]!'2002.TW-Name'</f>
        <v>中鋼</v>
      </c>
      <c r="C229">
        <f>[1]!'2002.TW-Price'</f>
        <v>33.450000000000003</v>
      </c>
      <c r="D229">
        <f>[1]!'2002.TW-AvgPrice'</f>
        <v>33.590000000000003</v>
      </c>
      <c r="E229">
        <f>[1]!'2002.TW-PriceChangeRatio'</f>
        <v>0.75</v>
      </c>
      <c r="F229" t="str">
        <f>[1]!'2002.TW-InOutRatioNumber'</f>
        <v>46.98%</v>
      </c>
      <c r="G229">
        <f>[1]!'2002.TW-PreTotalVolumeRate'</f>
        <v>0.46</v>
      </c>
      <c r="H229">
        <f>[1]!'2002.TW-VolumeRatio'</f>
        <v>1.1200000000000001</v>
      </c>
      <c r="I229">
        <f>[1]!'2002.TW-5DayAvgVol'</f>
        <v>81692</v>
      </c>
      <c r="J229">
        <f>[1]!'2002.TW-DXLOrderOutValueRatio'</f>
        <v>28.73</v>
      </c>
      <c r="K229">
        <f>[1]!'2002.TW-DXLOrderValueDiffRatio'</f>
        <v>-0.37</v>
      </c>
      <c r="L229">
        <f>[1]!'2002.TW-DLOrderValueDiffRatio'</f>
        <v>-0.68</v>
      </c>
      <c r="M229" t="str">
        <f>[1]!'2002.TW-ExchangeIndustry'</f>
        <v>上市鋼鐵</v>
      </c>
      <c r="N229" t="str">
        <f>[1]!'2002.TW-Capital'</f>
        <v>1573.49</v>
      </c>
      <c r="O229" t="str">
        <f>[1]!'2002.TW-Time'</f>
        <v>10:15:15</v>
      </c>
    </row>
    <row r="230" spans="1:15" x14ac:dyDescent="0.25">
      <c r="A230" t="str">
        <f>[1]!'2006.TW-ID'</f>
        <v>2006</v>
      </c>
      <c r="B230" t="str">
        <f>[1]!'2006.TW-Name'</f>
        <v>東和鋼鐵</v>
      </c>
      <c r="C230">
        <f>[1]!'2006.TW-Price'</f>
        <v>39.049999999999997</v>
      </c>
      <c r="D230">
        <f>[1]!'2006.TW-AvgPrice'</f>
        <v>39.24</v>
      </c>
      <c r="E230">
        <f>[1]!'2006.TW-PriceChangeRatio'</f>
        <v>0.9</v>
      </c>
      <c r="F230" t="str">
        <f>[1]!'2006.TW-InOutRatioNumber'</f>
        <v>63.09%</v>
      </c>
      <c r="G230">
        <f>[1]!'2006.TW-PreTotalVolumeRate'</f>
        <v>0.75</v>
      </c>
      <c r="H230">
        <f>[1]!'2006.TW-VolumeRatio'</f>
        <v>2.1</v>
      </c>
      <c r="I230">
        <f>[1]!'2006.TW-5DayAvgVol'</f>
        <v>3946</v>
      </c>
      <c r="J230">
        <f>[1]!'2006.TW-DXLOrderOutValueRatio'</f>
        <v>17.48</v>
      </c>
      <c r="K230">
        <f>[1]!'2006.TW-DXLOrderValueDiffRatio'</f>
        <v>15.67</v>
      </c>
      <c r="L230">
        <f>[1]!'2006.TW-DLOrderValueDiffRatio'</f>
        <v>4.84</v>
      </c>
      <c r="M230" t="str">
        <f>[1]!'2006.TW-ExchangeIndustry'</f>
        <v>上市鋼鐵</v>
      </c>
      <c r="N230" t="str">
        <f>[1]!'2006.TW-Capital'</f>
        <v>108.99</v>
      </c>
      <c r="O230" t="str">
        <f>[1]!'2006.TW-Time'</f>
        <v>10:15:18</v>
      </c>
    </row>
    <row r="231" spans="1:15" x14ac:dyDescent="0.25">
      <c r="A231" t="str">
        <f>[1]!'2007.TW-ID'</f>
        <v>2007</v>
      </c>
      <c r="B231" t="str">
        <f>[1]!'2007.TW-Name'</f>
        <v>燁興</v>
      </c>
      <c r="C231">
        <f>[1]!'2007.TW-Price'</f>
        <v>23.7</v>
      </c>
      <c r="D231">
        <f>[1]!'2007.TW-AvgPrice'</f>
        <v>23.98</v>
      </c>
      <c r="E231">
        <f>[1]!'2007.TW-PriceChangeRatio'</f>
        <v>-0.84</v>
      </c>
      <c r="F231" t="str">
        <f>[1]!'2007.TW-InOutRatioNumber'</f>
        <v>47.87%</v>
      </c>
      <c r="G231">
        <f>[1]!'2007.TW-PreTotalVolumeRate'</f>
        <v>0.46</v>
      </c>
      <c r="H231">
        <f>[1]!'2007.TW-VolumeRatio'</f>
        <v>0.94</v>
      </c>
      <c r="I231">
        <f>[1]!'2007.TW-5DayAvgVol'</f>
        <v>6436</v>
      </c>
      <c r="J231">
        <f>[1]!'2007.TW-DXLOrderOutValueRatio'</f>
        <v>13.8</v>
      </c>
      <c r="K231">
        <f>[1]!'2007.TW-DXLOrderValueDiffRatio'</f>
        <v>13.8</v>
      </c>
      <c r="L231">
        <f>[1]!'2007.TW-DLOrderValueDiffRatio'</f>
        <v>-5.34</v>
      </c>
      <c r="M231" t="str">
        <f>[1]!'2007.TW-ExchangeIndustry'</f>
        <v>上市鋼鐵</v>
      </c>
      <c r="N231" t="str">
        <f>[1]!'2007.TW-Capital'</f>
        <v>53.07</v>
      </c>
      <c r="O231" t="str">
        <f>[1]!'2007.TW-Time'</f>
        <v>10:15:14</v>
      </c>
    </row>
    <row r="232" spans="1:15" x14ac:dyDescent="0.25">
      <c r="A232" t="str">
        <f>[1]!'2008.TW-ID'</f>
        <v>2008</v>
      </c>
      <c r="B232" t="str">
        <f>[1]!'2008.TW-Name'</f>
        <v>高興昌</v>
      </c>
      <c r="C232">
        <f>[1]!'2008.TW-Price'</f>
        <v>18.649999999999999</v>
      </c>
      <c r="D232">
        <f>[1]!'2008.TW-AvgPrice'</f>
        <v>18.68</v>
      </c>
      <c r="E232">
        <f>[1]!'2008.TW-PriceChangeRatio'</f>
        <v>1.08</v>
      </c>
      <c r="F232" t="str">
        <f>[1]!'2008.TW-InOutRatioNumber'</f>
        <v>48.19%</v>
      </c>
      <c r="G232">
        <f>[1]!'2008.TW-PreTotalVolumeRate'</f>
        <v>0.49</v>
      </c>
      <c r="H232">
        <f>[1]!'2008.TW-VolumeRatio'</f>
        <v>1.34</v>
      </c>
      <c r="I232">
        <f>[1]!'2008.TW-5DayAvgVol'</f>
        <v>281</v>
      </c>
      <c r="J232">
        <f>[1]!'2008.TW-DXLOrderOutValueRatio'</f>
        <v>0</v>
      </c>
      <c r="K232">
        <f>[1]!'2008.TW-DXLOrderValueDiffRatio'</f>
        <v>0</v>
      </c>
      <c r="L232">
        <f>[1]!'2008.TW-DLOrderValueDiffRatio'</f>
        <v>0</v>
      </c>
      <c r="M232" t="str">
        <f>[1]!'2008.TW-ExchangeIndustry'</f>
        <v>上市鋼鐵</v>
      </c>
      <c r="N232" t="str">
        <f>[1]!'2008.TW-Capital'</f>
        <v>20.09</v>
      </c>
      <c r="O232" t="str">
        <f>[1]!'2008.TW-Time'</f>
        <v>10:10:41</v>
      </c>
    </row>
    <row r="233" spans="1:15" x14ac:dyDescent="0.25">
      <c r="A233" t="str">
        <f>[1]!'2009.TW-ID'</f>
        <v>2009</v>
      </c>
      <c r="B233" t="str">
        <f>[1]!'2009.TW-Name'</f>
        <v>第一銅</v>
      </c>
      <c r="C233">
        <f>[1]!'2009.TW-Price'</f>
        <v>48.85</v>
      </c>
      <c r="D233">
        <f>[1]!'2009.TW-AvgPrice'</f>
        <v>50.52</v>
      </c>
      <c r="E233">
        <f>[1]!'2009.TW-PriceChangeRatio'</f>
        <v>0.72</v>
      </c>
      <c r="F233" t="str">
        <f>[1]!'2009.TW-InOutRatioNumber'</f>
        <v>42.61%</v>
      </c>
      <c r="G233">
        <f>[1]!'2009.TW-PreTotalVolumeRate'</f>
        <v>2.4</v>
      </c>
      <c r="H233">
        <f>[1]!'2009.TW-VolumeRatio'</f>
        <v>4.38</v>
      </c>
      <c r="I233">
        <f>[1]!'2009.TW-5DayAvgVol'</f>
        <v>5692</v>
      </c>
      <c r="J233">
        <f>[1]!'2009.TW-DXLOrderOutValueRatio'</f>
        <v>7.73</v>
      </c>
      <c r="K233">
        <f>[1]!'2009.TW-DXLOrderValueDiffRatio'</f>
        <v>-10.33</v>
      </c>
      <c r="L233">
        <f>[1]!'2009.TW-DLOrderValueDiffRatio'</f>
        <v>-1.66</v>
      </c>
      <c r="M233" t="str">
        <f>[1]!'2009.TW-ExchangeIndustry'</f>
        <v>上市鋼鐵</v>
      </c>
      <c r="N233" t="str">
        <f>[1]!'2009.TW-Capital'</f>
        <v>35.96</v>
      </c>
      <c r="O233" t="str">
        <f>[1]!'2009.TW-Time'</f>
        <v>10:15:17</v>
      </c>
    </row>
    <row r="234" spans="1:15" x14ac:dyDescent="0.25">
      <c r="A234" t="str">
        <f>[1]!'2010.TW-ID'</f>
        <v>2010</v>
      </c>
      <c r="B234" t="str">
        <f>[1]!'2010.TW-Name'</f>
        <v>春源</v>
      </c>
      <c r="C234">
        <f>[1]!'2010.TW-Price'</f>
        <v>23.5</v>
      </c>
      <c r="D234">
        <f>[1]!'2010.TW-AvgPrice'</f>
        <v>23.72</v>
      </c>
      <c r="E234">
        <f>[1]!'2010.TW-PriceChangeRatio'</f>
        <v>-0.63</v>
      </c>
      <c r="F234" t="str">
        <f>[1]!'2010.TW-InOutRatioNumber'</f>
        <v>39.43%</v>
      </c>
      <c r="G234">
        <f>[1]!'2010.TW-PreTotalVolumeRate'</f>
        <v>0.67</v>
      </c>
      <c r="H234">
        <f>[1]!'2010.TW-VolumeRatio'</f>
        <v>1.54</v>
      </c>
      <c r="I234">
        <f>[1]!'2010.TW-5DayAvgVol'</f>
        <v>2876</v>
      </c>
      <c r="J234">
        <f>[1]!'2010.TW-DXLOrderOutValueRatio'</f>
        <v>8.66</v>
      </c>
      <c r="K234">
        <f>[1]!'2010.TW-DXLOrderValueDiffRatio'</f>
        <v>1.49</v>
      </c>
      <c r="L234">
        <f>[1]!'2010.TW-DLOrderValueDiffRatio'</f>
        <v>-9.31</v>
      </c>
      <c r="M234" t="str">
        <f>[1]!'2010.TW-ExchangeIndustry'</f>
        <v>上市鋼鐵</v>
      </c>
      <c r="N234" t="str">
        <f>[1]!'2010.TW-Capital'</f>
        <v>64.77</v>
      </c>
      <c r="O234" t="str">
        <f>[1]!'2010.TW-Time'</f>
        <v>10:15:14</v>
      </c>
    </row>
    <row r="235" spans="1:15" x14ac:dyDescent="0.25">
      <c r="A235" t="str">
        <f>[1]!'2012.TW-ID'</f>
        <v>2012</v>
      </c>
      <c r="B235" t="str">
        <f>[1]!'2012.TW-Name'</f>
        <v>春雨</v>
      </c>
      <c r="C235">
        <f>[1]!'2012.TW-Price'</f>
        <v>29.55</v>
      </c>
      <c r="D235">
        <f>[1]!'2012.TW-AvgPrice'</f>
        <v>29.71</v>
      </c>
      <c r="E235">
        <f>[1]!'2012.TW-PriceChangeRatio'</f>
        <v>0.85</v>
      </c>
      <c r="F235" t="str">
        <f>[1]!'2012.TW-InOutRatioNumber'</f>
        <v>44.93%</v>
      </c>
      <c r="G235">
        <f>[1]!'2012.TW-PreTotalVolumeRate'</f>
        <v>0.33</v>
      </c>
      <c r="H235">
        <f>[1]!'2012.TW-VolumeRatio'</f>
        <v>0.89</v>
      </c>
      <c r="I235">
        <f>[1]!'2012.TW-5DayAvgVol'</f>
        <v>533</v>
      </c>
      <c r="J235">
        <f>[1]!'2012.TW-DXLOrderOutValueRatio'</f>
        <v>0</v>
      </c>
      <c r="K235">
        <f>[1]!'2012.TW-DXLOrderValueDiffRatio'</f>
        <v>0</v>
      </c>
      <c r="L235">
        <f>[1]!'2012.TW-DLOrderValueDiffRatio'</f>
        <v>6.46</v>
      </c>
      <c r="M235" t="str">
        <f>[1]!'2012.TW-ExchangeIndustry'</f>
        <v>上市鋼鐵</v>
      </c>
      <c r="N235" t="str">
        <f>[1]!'2012.TW-Capital'</f>
        <v>28.78</v>
      </c>
      <c r="O235" t="str">
        <f>[1]!'2012.TW-Time'</f>
        <v>10:14:04</v>
      </c>
    </row>
    <row r="236" spans="1:15" x14ac:dyDescent="0.25">
      <c r="A236" t="str">
        <f>[1]!'2013.TW-ID'</f>
        <v>2013</v>
      </c>
      <c r="B236" t="str">
        <f>[1]!'2013.TW-Name'</f>
        <v>中鋼構</v>
      </c>
      <c r="C236">
        <f>[1]!'2013.TW-Price'</f>
        <v>58.1</v>
      </c>
      <c r="D236">
        <f>[1]!'2013.TW-AvgPrice'</f>
        <v>58.48</v>
      </c>
      <c r="E236">
        <f>[1]!'2013.TW-PriceChangeRatio'</f>
        <v>-0.51</v>
      </c>
      <c r="F236" t="str">
        <f>[1]!'2013.TW-InOutRatioNumber'</f>
        <v>33.16%</v>
      </c>
      <c r="G236">
        <f>[1]!'2013.TW-PreTotalVolumeRate'</f>
        <v>0.21</v>
      </c>
      <c r="H236">
        <f>[1]!'2013.TW-VolumeRatio'</f>
        <v>0.54</v>
      </c>
      <c r="I236">
        <f>[1]!'2013.TW-5DayAvgVol'</f>
        <v>3758</v>
      </c>
      <c r="J236">
        <f>[1]!'2013.TW-DXLOrderOutValueRatio'</f>
        <v>0</v>
      </c>
      <c r="K236">
        <f>[1]!'2013.TW-DXLOrderValueDiffRatio'</f>
        <v>-11.34</v>
      </c>
      <c r="L236">
        <f>[1]!'2013.TW-DLOrderValueDiffRatio'</f>
        <v>-5.2</v>
      </c>
      <c r="M236" t="str">
        <f>[1]!'2013.TW-ExchangeIndustry'</f>
        <v>上市鋼鐵</v>
      </c>
      <c r="N236" t="str">
        <f>[1]!'2013.TW-Capital'</f>
        <v>20.00</v>
      </c>
      <c r="O236" t="str">
        <f>[1]!'2013.TW-Time'</f>
        <v>10:14:50</v>
      </c>
    </row>
    <row r="237" spans="1:15" x14ac:dyDescent="0.25">
      <c r="A237" t="str">
        <f>[1]!'2014.TW-ID'</f>
        <v>2014</v>
      </c>
      <c r="B237" t="str">
        <f>[1]!'2014.TW-Name'</f>
        <v>中鴻</v>
      </c>
      <c r="C237">
        <f>[1]!'2014.TW-Price'</f>
        <v>35.799999999999997</v>
      </c>
      <c r="D237">
        <f>[1]!'2014.TW-AvgPrice'</f>
        <v>36.47</v>
      </c>
      <c r="E237">
        <f>[1]!'2014.TW-PriceChangeRatio'</f>
        <v>-1.38</v>
      </c>
      <c r="F237" t="str">
        <f>[1]!'2014.TW-InOutRatioNumber'</f>
        <v>40.17%</v>
      </c>
      <c r="G237">
        <f>[1]!'2014.TW-PreTotalVolumeRate'</f>
        <v>0.71</v>
      </c>
      <c r="H237">
        <f>[1]!'2014.TW-VolumeRatio'</f>
        <v>1.64</v>
      </c>
      <c r="I237">
        <f>[1]!'2014.TW-5DayAvgVol'</f>
        <v>16458</v>
      </c>
      <c r="J237">
        <f>[1]!'2014.TW-DXLOrderOutValueRatio'</f>
        <v>15.41</v>
      </c>
      <c r="K237">
        <f>[1]!'2014.TW-DXLOrderValueDiffRatio'</f>
        <v>-18.96</v>
      </c>
      <c r="L237">
        <f>[1]!'2014.TW-DLOrderValueDiffRatio'</f>
        <v>3.35</v>
      </c>
      <c r="M237" t="str">
        <f>[1]!'2014.TW-ExchangeIndustry'</f>
        <v>上市鋼鐵</v>
      </c>
      <c r="N237" t="str">
        <f>[1]!'2014.TW-Capital'</f>
        <v>143.55</v>
      </c>
      <c r="O237" t="str">
        <f>[1]!'2014.TW-Time'</f>
        <v>10:15:18</v>
      </c>
    </row>
    <row r="238" spans="1:15" x14ac:dyDescent="0.25">
      <c r="A238" t="str">
        <f>[1]!'2015.TW-ID'</f>
        <v>2015</v>
      </c>
      <c r="B238" t="str">
        <f>[1]!'2015.TW-Name'</f>
        <v>豐興</v>
      </c>
      <c r="C238">
        <f>[1]!'2015.TW-Price'</f>
        <v>75.900000000000006</v>
      </c>
      <c r="D238">
        <f>[1]!'2015.TW-AvgPrice'</f>
        <v>76.23</v>
      </c>
      <c r="E238">
        <f>[1]!'2015.TW-PriceChangeRatio'</f>
        <v>-1.04</v>
      </c>
      <c r="F238" t="str">
        <f>[1]!'2015.TW-InOutRatioNumber'</f>
        <v>13.73%</v>
      </c>
      <c r="G238">
        <f>[1]!'2015.TW-PreTotalVolumeRate'</f>
        <v>0.21</v>
      </c>
      <c r="H238">
        <f>[1]!'2015.TW-VolumeRatio'</f>
        <v>0.5</v>
      </c>
      <c r="I238">
        <f>[1]!'2015.TW-5DayAvgVol'</f>
        <v>429</v>
      </c>
      <c r="J238">
        <f>[1]!'2015.TW-DXLOrderOutValueRatio'</f>
        <v>0</v>
      </c>
      <c r="K238">
        <f>[1]!'2015.TW-DXLOrderValueDiffRatio'</f>
        <v>0</v>
      </c>
      <c r="L238">
        <f>[1]!'2015.TW-DLOrderValueDiffRatio'</f>
        <v>-18.12</v>
      </c>
      <c r="M238" t="str">
        <f>[1]!'2015.TW-ExchangeIndustry'</f>
        <v>上市鋼鐵</v>
      </c>
      <c r="N238" t="str">
        <f>[1]!'2015.TW-Capital'</f>
        <v>58.16</v>
      </c>
      <c r="O238" t="str">
        <f>[1]!'2015.TW-Time'</f>
        <v>10:13:44</v>
      </c>
    </row>
    <row r="239" spans="1:15" x14ac:dyDescent="0.25">
      <c r="A239" t="str">
        <f>[1]!'2017.TW-ID'</f>
        <v>2017</v>
      </c>
      <c r="B239" t="str">
        <f>[1]!'2017.TW-Name'</f>
        <v>官田鋼</v>
      </c>
      <c r="C239">
        <f>[1]!'2017.TW-Price'</f>
        <v>20.95</v>
      </c>
      <c r="D239">
        <f>[1]!'2017.TW-AvgPrice'</f>
        <v>21.1</v>
      </c>
      <c r="E239">
        <f>[1]!'2017.TW-PriceChangeRatio'</f>
        <v>1.21</v>
      </c>
      <c r="F239" t="str">
        <f>[1]!'2017.TW-InOutRatioNumber'</f>
        <v>52.75%</v>
      </c>
      <c r="G239">
        <f>[1]!'2017.TW-PreTotalVolumeRate'</f>
        <v>0.5</v>
      </c>
      <c r="H239">
        <f>[1]!'2017.TW-VolumeRatio'</f>
        <v>1.26</v>
      </c>
      <c r="I239">
        <f>[1]!'2017.TW-5DayAvgVol'</f>
        <v>2273</v>
      </c>
      <c r="J239">
        <f>[1]!'2017.TW-DXLOrderOutValueRatio'</f>
        <v>9.98</v>
      </c>
      <c r="K239">
        <f>[1]!'2017.TW-DXLOrderValueDiffRatio'</f>
        <v>9.98</v>
      </c>
      <c r="L239">
        <f>[1]!'2017.TW-DLOrderValueDiffRatio'</f>
        <v>4.93</v>
      </c>
      <c r="M239" t="str">
        <f>[1]!'2017.TW-ExchangeIndustry'</f>
        <v>上市鋼鐵</v>
      </c>
      <c r="N239" t="str">
        <f>[1]!'2017.TW-Capital'</f>
        <v>34.19</v>
      </c>
      <c r="O239" t="str">
        <f>[1]!'2017.TW-Time'</f>
        <v>10:09:50</v>
      </c>
    </row>
    <row r="240" spans="1:15" x14ac:dyDescent="0.25">
      <c r="A240" t="str">
        <f>[1]!'2020.TW-ID'</f>
        <v>2020</v>
      </c>
      <c r="B240" t="str">
        <f>[1]!'2020.TW-Name'</f>
        <v>美亞</v>
      </c>
      <c r="C240">
        <f>[1]!'2020.TW-Price'</f>
        <v>30.7</v>
      </c>
      <c r="D240">
        <f>[1]!'2020.TW-AvgPrice'</f>
        <v>30.86</v>
      </c>
      <c r="E240">
        <f>[1]!'2020.TW-PriceChangeRatio'</f>
        <v>0.82</v>
      </c>
      <c r="F240" t="str">
        <f>[1]!'2020.TW-InOutRatioNumber'</f>
        <v>52.42%</v>
      </c>
      <c r="G240">
        <f>[1]!'2020.TW-PreTotalVolumeRate'</f>
        <v>0.35</v>
      </c>
      <c r="H240">
        <f>[1]!'2020.TW-VolumeRatio'</f>
        <v>0.9</v>
      </c>
      <c r="I240">
        <f>[1]!'2020.TW-5DayAvgVol'</f>
        <v>922</v>
      </c>
      <c r="J240">
        <f>[1]!'2020.TW-DXLOrderOutValueRatio'</f>
        <v>0</v>
      </c>
      <c r="K240">
        <f>[1]!'2020.TW-DXLOrderValueDiffRatio'</f>
        <v>0</v>
      </c>
      <c r="L240">
        <f>[1]!'2020.TW-DLOrderValueDiffRatio'</f>
        <v>3.45</v>
      </c>
      <c r="M240" t="str">
        <f>[1]!'2020.TW-ExchangeIndustry'</f>
        <v>上市鋼鐵</v>
      </c>
      <c r="N240" t="str">
        <f>[1]!'2020.TW-Capital'</f>
        <v>22.25</v>
      </c>
      <c r="O240" t="str">
        <f>[1]!'2020.TW-Time'</f>
        <v>10:15:05</v>
      </c>
    </row>
    <row r="241" spans="1:15" x14ac:dyDescent="0.25">
      <c r="A241" t="str">
        <f>[1]!'2022.TW-ID'</f>
        <v>2022</v>
      </c>
      <c r="B241" t="str">
        <f>[1]!'2022.TW-Name'</f>
        <v>聚亨</v>
      </c>
      <c r="C241">
        <f>[1]!'2022.TW-Price'</f>
        <v>14.75</v>
      </c>
      <c r="D241">
        <f>[1]!'2022.TW-AvgPrice'</f>
        <v>15.05</v>
      </c>
      <c r="E241">
        <f>[1]!'2022.TW-PriceChangeRatio'</f>
        <v>-2.3199999999999998</v>
      </c>
      <c r="F241" t="str">
        <f>[1]!'2022.TW-InOutRatioNumber'</f>
        <v>36.97%</v>
      </c>
      <c r="G241">
        <f>[1]!'2022.TW-PreTotalVolumeRate'</f>
        <v>0.48</v>
      </c>
      <c r="H241">
        <f>[1]!'2022.TW-VolumeRatio'</f>
        <v>1.1200000000000001</v>
      </c>
      <c r="I241">
        <f>[1]!'2022.TW-5DayAvgVol'</f>
        <v>4220</v>
      </c>
      <c r="J241">
        <f>[1]!'2022.TW-DXLOrderOutValueRatio'</f>
        <v>0</v>
      </c>
      <c r="K241">
        <f>[1]!'2022.TW-DXLOrderValueDiffRatio'</f>
        <v>-8.23</v>
      </c>
      <c r="L241">
        <f>[1]!'2022.TW-DLOrderValueDiffRatio'</f>
        <v>-4.12</v>
      </c>
      <c r="M241" t="str">
        <f>[1]!'2022.TW-ExchangeIndustry'</f>
        <v>上市鋼鐵</v>
      </c>
      <c r="N241" t="str">
        <f>[1]!'2022.TW-Capital'</f>
        <v>47.98</v>
      </c>
      <c r="O241" t="str">
        <f>[1]!'2022.TW-Time'</f>
        <v>10:15:15</v>
      </c>
    </row>
    <row r="242" spans="1:15" x14ac:dyDescent="0.25">
      <c r="A242" t="str">
        <f>[1]!'2023.TW-ID'</f>
        <v>2023</v>
      </c>
      <c r="B242" t="str">
        <f>[1]!'2023.TW-Name'</f>
        <v>燁輝</v>
      </c>
      <c r="C242">
        <f>[1]!'2023.TW-Price'</f>
        <v>25.95</v>
      </c>
      <c r="D242">
        <f>[1]!'2023.TW-AvgPrice'</f>
        <v>26.51</v>
      </c>
      <c r="E242">
        <f>[1]!'2023.TW-PriceChangeRatio'</f>
        <v>-1.89</v>
      </c>
      <c r="F242" t="str">
        <f>[1]!'2023.TW-InOutRatioNumber'</f>
        <v>40.80%</v>
      </c>
      <c r="G242">
        <f>[1]!'2023.TW-PreTotalVolumeRate'</f>
        <v>0.59</v>
      </c>
      <c r="H242">
        <f>[1]!'2023.TW-VolumeRatio'</f>
        <v>1.33</v>
      </c>
      <c r="I242">
        <f>[1]!'2023.TW-5DayAvgVol'</f>
        <v>17546</v>
      </c>
      <c r="J242">
        <f>[1]!'2023.TW-DXLOrderOutValueRatio'</f>
        <v>14.54</v>
      </c>
      <c r="K242">
        <f>[1]!'2023.TW-DXLOrderValueDiffRatio'</f>
        <v>-17.940000000000001</v>
      </c>
      <c r="L242">
        <f>[1]!'2023.TW-DLOrderValueDiffRatio'</f>
        <v>1.07</v>
      </c>
      <c r="M242" t="str">
        <f>[1]!'2023.TW-ExchangeIndustry'</f>
        <v>上市鋼鐵</v>
      </c>
      <c r="N242" t="str">
        <f>[1]!'2023.TW-Capital'</f>
        <v>189.06</v>
      </c>
      <c r="O242" t="str">
        <f>[1]!'2023.TW-Time'</f>
        <v>10:15:16</v>
      </c>
    </row>
    <row r="243" spans="1:15" x14ac:dyDescent="0.25">
      <c r="A243" t="str">
        <f>[1]!'2024.TW-ID'</f>
        <v>2024</v>
      </c>
      <c r="B243" t="str">
        <f>[1]!'2024.TW-Name'</f>
        <v>志聯</v>
      </c>
      <c r="C243">
        <f>[1]!'2024.TW-Price'</f>
        <v>18.8</v>
      </c>
      <c r="D243">
        <f>[1]!'2024.TW-AvgPrice'</f>
        <v>19.05</v>
      </c>
      <c r="E243">
        <f>[1]!'2024.TW-PriceChangeRatio'</f>
        <v>-1.57</v>
      </c>
      <c r="F243" t="str">
        <f>[1]!'2024.TW-InOutRatioNumber'</f>
        <v>12.90%</v>
      </c>
      <c r="G243">
        <f>[1]!'2024.TW-PreTotalVolumeRate'</f>
        <v>0.36</v>
      </c>
      <c r="H243">
        <f>[1]!'2024.TW-VolumeRatio'</f>
        <v>0.83</v>
      </c>
      <c r="I243">
        <f>[1]!'2024.TW-5DayAvgVol'</f>
        <v>263</v>
      </c>
      <c r="J243">
        <f>[1]!'2024.TW-DXLOrderOutValueRatio'</f>
        <v>0</v>
      </c>
      <c r="K243">
        <f>[1]!'2024.TW-DXLOrderValueDiffRatio'</f>
        <v>0</v>
      </c>
      <c r="L243">
        <f>[1]!'2024.TW-DLOrderValueDiffRatio'</f>
        <v>0</v>
      </c>
      <c r="M243" t="str">
        <f>[1]!'2024.TW-ExchangeIndustry'</f>
        <v>上市鋼鐵</v>
      </c>
      <c r="N243" t="str">
        <f>[1]!'2024.TW-Capital'</f>
        <v>9.75</v>
      </c>
      <c r="O243" t="str">
        <f>[1]!'2024.TW-Time'</f>
        <v>10:10:17</v>
      </c>
    </row>
    <row r="244" spans="1:15" x14ac:dyDescent="0.25">
      <c r="A244" t="str">
        <f>[1]!'2025.TW-ID'</f>
        <v>2025</v>
      </c>
      <c r="B244" t="str">
        <f>[1]!'2025.TW-Name'</f>
        <v>千興</v>
      </c>
      <c r="C244">
        <f>[1]!'2025.TW-Price'</f>
        <v>5.52</v>
      </c>
      <c r="D244">
        <f>[1]!'2025.TW-AvgPrice'</f>
        <v>5.53</v>
      </c>
      <c r="E244">
        <f>[1]!'2025.TW-PriceChangeRatio'</f>
        <v>0.36</v>
      </c>
      <c r="F244" t="str">
        <f>[1]!'2025.TW-InOutRatioNumber'</f>
        <v>0.00%</v>
      </c>
      <c r="G244">
        <f>[1]!'2025.TW-PreTotalVolumeRate'</f>
        <v>0.38</v>
      </c>
      <c r="H244">
        <f>[1]!'2025.TW-VolumeRatio'</f>
        <v>1.33</v>
      </c>
      <c r="I244">
        <f>[1]!'2025.TW-5DayAvgVol'</f>
        <v>642</v>
      </c>
      <c r="J244">
        <f>[1]!'2025.TW-DXLOrderOutValueRatio'</f>
        <v>0</v>
      </c>
      <c r="K244">
        <f>[1]!'2025.TW-DXLOrderValueDiffRatio'</f>
        <v>0</v>
      </c>
      <c r="L244">
        <f>[1]!'2025.TW-DLOrderValueDiffRatio'</f>
        <v>-68.94</v>
      </c>
      <c r="M244" t="str">
        <f>[1]!'2025.TW-ExchangeIndustry'</f>
        <v>上市鋼鐵</v>
      </c>
      <c r="N244" t="str">
        <f>[1]!'2025.TW-Capital'</f>
        <v>28.12</v>
      </c>
      <c r="O244" t="str">
        <f>[1]!'2025.TW-Time'</f>
        <v>10:00:00</v>
      </c>
    </row>
    <row r="245" spans="1:15" x14ac:dyDescent="0.25">
      <c r="A245" t="str">
        <f>[1]!'2027.TW-ID'</f>
        <v>2027</v>
      </c>
      <c r="B245" t="str">
        <f>[1]!'2027.TW-Name'</f>
        <v>大成鋼</v>
      </c>
      <c r="C245">
        <f>[1]!'2027.TW-Price'</f>
        <v>45.05</v>
      </c>
      <c r="D245">
        <f>[1]!'2027.TW-AvgPrice'</f>
        <v>45.87</v>
      </c>
      <c r="E245">
        <f>[1]!'2027.TW-PriceChangeRatio'</f>
        <v>0.33</v>
      </c>
      <c r="F245" t="str">
        <f>[1]!'2027.TW-InOutRatioNumber'</f>
        <v>43.89%</v>
      </c>
      <c r="G245">
        <f>[1]!'2027.TW-PreTotalVolumeRate'</f>
        <v>1.1000000000000001</v>
      </c>
      <c r="H245">
        <f>[1]!'2027.TW-VolumeRatio'</f>
        <v>2.44</v>
      </c>
      <c r="I245">
        <f>[1]!'2027.TW-5DayAvgVol'</f>
        <v>22721</v>
      </c>
      <c r="J245">
        <f>[1]!'2027.TW-DXLOrderOutValueRatio'</f>
        <v>19.25</v>
      </c>
      <c r="K245">
        <f>[1]!'2027.TW-DXLOrderValueDiffRatio'</f>
        <v>-2.7</v>
      </c>
      <c r="L245">
        <f>[1]!'2027.TW-DLOrderValueDiffRatio'</f>
        <v>-5.04</v>
      </c>
      <c r="M245" t="str">
        <f>[1]!'2027.TW-ExchangeIndustry'</f>
        <v>上市鋼鐵</v>
      </c>
      <c r="N245" t="str">
        <f>[1]!'2027.TW-Capital'</f>
        <v>200.85</v>
      </c>
      <c r="O245" t="str">
        <f>[1]!'2027.TW-Time'</f>
        <v>10:15:19</v>
      </c>
    </row>
    <row r="246" spans="1:15" x14ac:dyDescent="0.25">
      <c r="A246" t="str">
        <f>[1]!'2028.TW-ID'</f>
        <v>2028</v>
      </c>
      <c r="B246" t="str">
        <f>[1]!'2028.TW-Name'</f>
        <v>威致</v>
      </c>
      <c r="C246">
        <f>[1]!'2028.TW-Price'</f>
        <v>36.25</v>
      </c>
      <c r="D246">
        <f>[1]!'2028.TW-AvgPrice'</f>
        <v>36.86</v>
      </c>
      <c r="E246">
        <f>[1]!'2028.TW-PriceChangeRatio'</f>
        <v>-1.36</v>
      </c>
      <c r="F246" t="str">
        <f>[1]!'2028.TW-InOutRatioNumber'</f>
        <v>37.40%</v>
      </c>
      <c r="G246">
        <f>[1]!'2028.TW-PreTotalVolumeRate'</f>
        <v>0.48</v>
      </c>
      <c r="H246">
        <f>[1]!'2028.TW-VolumeRatio'</f>
        <v>1.26</v>
      </c>
      <c r="I246">
        <f>[1]!'2028.TW-5DayAvgVol'</f>
        <v>1275</v>
      </c>
      <c r="J246">
        <f>[1]!'2028.TW-DXLOrderOutValueRatio'</f>
        <v>0</v>
      </c>
      <c r="K246">
        <f>[1]!'2028.TW-DXLOrderValueDiffRatio'</f>
        <v>0</v>
      </c>
      <c r="L246">
        <f>[1]!'2028.TW-DLOrderValueDiffRatio'</f>
        <v>3.26</v>
      </c>
      <c r="M246" t="str">
        <f>[1]!'2028.TW-ExchangeIndustry'</f>
        <v>上市鋼鐵</v>
      </c>
      <c r="N246" t="str">
        <f>[1]!'2028.TW-Capital'</f>
        <v>32.57</v>
      </c>
      <c r="O246" t="str">
        <f>[1]!'2028.TW-Time'</f>
        <v>10:15:14</v>
      </c>
    </row>
    <row r="247" spans="1:15" x14ac:dyDescent="0.25">
      <c r="A247" t="str">
        <f>[1]!'2029.TW-ID'</f>
        <v>2029</v>
      </c>
      <c r="B247" t="str">
        <f>[1]!'2029.TW-Name'</f>
        <v>盛餘</v>
      </c>
      <c r="C247">
        <f>[1]!'2029.TW-Price'</f>
        <v>34.1</v>
      </c>
      <c r="D247">
        <f>[1]!'2029.TW-AvgPrice'</f>
        <v>34.840000000000003</v>
      </c>
      <c r="E247">
        <f>[1]!'2029.TW-PriceChangeRatio'</f>
        <v>-2.99</v>
      </c>
      <c r="F247" t="str">
        <f>[1]!'2029.TW-InOutRatioNumber'</f>
        <v>33.36%</v>
      </c>
      <c r="G247">
        <f>[1]!'2029.TW-PreTotalVolumeRate'</f>
        <v>0.39</v>
      </c>
      <c r="H247">
        <f>[1]!'2029.TW-VolumeRatio'</f>
        <v>0.85</v>
      </c>
      <c r="I247">
        <f>[1]!'2029.TW-5DayAvgVol'</f>
        <v>2112</v>
      </c>
      <c r="J247">
        <f>[1]!'2029.TW-DXLOrderOutValueRatio'</f>
        <v>4.93</v>
      </c>
      <c r="K247">
        <f>[1]!'2029.TW-DXLOrderValueDiffRatio'</f>
        <v>1.47</v>
      </c>
      <c r="L247">
        <f>[1]!'2029.TW-DLOrderValueDiffRatio'</f>
        <v>-9.9</v>
      </c>
      <c r="M247" t="str">
        <f>[1]!'2029.TW-ExchangeIndustry'</f>
        <v>上市鋼鐵</v>
      </c>
      <c r="N247" t="str">
        <f>[1]!'2029.TW-Capital'</f>
        <v>32.12</v>
      </c>
      <c r="O247" t="str">
        <f>[1]!'2029.TW-Time'</f>
        <v>10:15:12</v>
      </c>
    </row>
    <row r="248" spans="1:15" x14ac:dyDescent="0.25">
      <c r="A248" t="str">
        <f>[1]!'2030.TW-ID'</f>
        <v>2030</v>
      </c>
      <c r="B248" t="str">
        <f>[1]!'2030.TW-Name'</f>
        <v>彰源</v>
      </c>
      <c r="C248">
        <f>[1]!'2030.TW-Price'</f>
        <v>29.3</v>
      </c>
      <c r="D248">
        <f>[1]!'2030.TW-AvgPrice'</f>
        <v>29.76</v>
      </c>
      <c r="E248">
        <f>[1]!'2030.TW-PriceChangeRatio'</f>
        <v>-0.34</v>
      </c>
      <c r="F248" t="str">
        <f>[1]!'2030.TW-InOutRatioNumber'</f>
        <v>39.55%</v>
      </c>
      <c r="G248">
        <f>[1]!'2030.TW-PreTotalVolumeRate'</f>
        <v>0.74</v>
      </c>
      <c r="H248">
        <f>[1]!'2030.TW-VolumeRatio'</f>
        <v>1.77</v>
      </c>
      <c r="I248">
        <f>[1]!'2030.TW-5DayAvgVol'</f>
        <v>4068</v>
      </c>
      <c r="J248">
        <f>[1]!'2030.TW-DXLOrderOutValueRatio'</f>
        <v>0</v>
      </c>
      <c r="K248">
        <f>[1]!'2030.TW-DXLOrderValueDiffRatio'</f>
        <v>-8.09</v>
      </c>
      <c r="L248">
        <f>[1]!'2030.TW-DLOrderValueDiffRatio'</f>
        <v>1.78</v>
      </c>
      <c r="M248" t="str">
        <f>[1]!'2030.TW-ExchangeIndustry'</f>
        <v>上市鋼鐵</v>
      </c>
      <c r="N248" t="str">
        <f>[1]!'2030.TW-Capital'</f>
        <v>28.05</v>
      </c>
      <c r="O248" t="str">
        <f>[1]!'2030.TW-Time'</f>
        <v>10:14:08</v>
      </c>
    </row>
    <row r="249" spans="1:15" x14ac:dyDescent="0.25">
      <c r="A249" t="str">
        <f>[1]!'2031.TW-ID'</f>
        <v>2031</v>
      </c>
      <c r="B249" t="str">
        <f>[1]!'2031.TW-Name'</f>
        <v>新光鋼</v>
      </c>
      <c r="C249">
        <f>[1]!'2031.TW-Price'</f>
        <v>56.4</v>
      </c>
      <c r="D249">
        <f>[1]!'2031.TW-AvgPrice'</f>
        <v>57.33</v>
      </c>
      <c r="E249">
        <f>[1]!'2031.TW-PriceChangeRatio'</f>
        <v>-1.57</v>
      </c>
      <c r="F249" t="str">
        <f>[1]!'2031.TW-InOutRatioNumber'</f>
        <v>36.71%</v>
      </c>
      <c r="G249">
        <f>[1]!'2031.TW-PreTotalVolumeRate'</f>
        <v>0.89</v>
      </c>
      <c r="H249">
        <f>[1]!'2031.TW-VolumeRatio'</f>
        <v>2.2400000000000002</v>
      </c>
      <c r="I249">
        <f>[1]!'2031.TW-5DayAvgVol'</f>
        <v>2782</v>
      </c>
      <c r="J249">
        <f>[1]!'2031.TW-DXLOrderOutValueRatio'</f>
        <v>2.96</v>
      </c>
      <c r="K249">
        <f>[1]!'2031.TW-DXLOrderValueDiffRatio'</f>
        <v>-21.81</v>
      </c>
      <c r="L249">
        <f>[1]!'2031.TW-DLOrderValueDiffRatio'</f>
        <v>-4.28</v>
      </c>
      <c r="M249" t="str">
        <f>[1]!'2031.TW-ExchangeIndustry'</f>
        <v>上市鋼鐵</v>
      </c>
      <c r="N249" t="str">
        <f>[1]!'2031.TW-Capital'</f>
        <v>32.11</v>
      </c>
      <c r="O249" t="str">
        <f>[1]!'2031.TW-Time'</f>
        <v>10:15:14</v>
      </c>
    </row>
    <row r="250" spans="1:15" x14ac:dyDescent="0.25">
      <c r="A250" t="str">
        <f>[1]!'2032.TW-ID'</f>
        <v>2032</v>
      </c>
      <c r="B250" t="str">
        <f>[1]!'2032.TW-Name'</f>
        <v>新鋼</v>
      </c>
      <c r="C250">
        <f>[1]!'2032.TW-Price'</f>
        <v>25.15</v>
      </c>
      <c r="D250">
        <f>[1]!'2032.TW-AvgPrice'</f>
        <v>25.66</v>
      </c>
      <c r="E250">
        <f>[1]!'2032.TW-PriceChangeRatio'</f>
        <v>-1.95</v>
      </c>
      <c r="F250" t="str">
        <f>[1]!'2032.TW-InOutRatioNumber'</f>
        <v>33.24%</v>
      </c>
      <c r="G250">
        <f>[1]!'2032.TW-PreTotalVolumeRate'</f>
        <v>0.45</v>
      </c>
      <c r="H250">
        <f>[1]!'2032.TW-VolumeRatio'</f>
        <v>1.1399999999999999</v>
      </c>
      <c r="I250">
        <f>[1]!'2032.TW-5DayAvgVol'</f>
        <v>803</v>
      </c>
      <c r="J250">
        <f>[1]!'2032.TW-DXLOrderOutValueRatio'</f>
        <v>0</v>
      </c>
      <c r="K250">
        <f>[1]!'2032.TW-DXLOrderValueDiffRatio'</f>
        <v>0</v>
      </c>
      <c r="L250">
        <f>[1]!'2032.TW-DLOrderValueDiffRatio'</f>
        <v>0</v>
      </c>
      <c r="M250" t="str">
        <f>[1]!'2032.TW-ExchangeIndustry'</f>
        <v>上市鋼鐵</v>
      </c>
      <c r="N250" t="str">
        <f>[1]!'2032.TW-Capital'</f>
        <v>13.05</v>
      </c>
      <c r="O250" t="str">
        <f>[1]!'2032.TW-Time'</f>
        <v>10:15:14</v>
      </c>
    </row>
    <row r="251" spans="1:15" x14ac:dyDescent="0.25">
      <c r="A251" t="str">
        <f>[1]!'2033.TW-ID'</f>
        <v>2033</v>
      </c>
      <c r="B251" t="str">
        <f>[1]!'2033.TW-Name'</f>
        <v>佳大</v>
      </c>
      <c r="C251">
        <f>[1]!'2033.TW-Price'</f>
        <v>16.399999999999999</v>
      </c>
      <c r="D251">
        <f>[1]!'2033.TW-AvgPrice'</f>
        <v>16.79</v>
      </c>
      <c r="E251">
        <f>[1]!'2033.TW-PriceChangeRatio'</f>
        <v>-1.2</v>
      </c>
      <c r="F251" t="str">
        <f>[1]!'2033.TW-InOutRatioNumber'</f>
        <v>36.21%</v>
      </c>
      <c r="G251">
        <f>[1]!'2033.TW-PreTotalVolumeRate'</f>
        <v>0.46</v>
      </c>
      <c r="H251">
        <f>[1]!'2033.TW-VolumeRatio'</f>
        <v>1.73</v>
      </c>
      <c r="I251">
        <f>[1]!'2033.TW-5DayAvgVol'</f>
        <v>278</v>
      </c>
      <c r="J251">
        <f>[1]!'2033.TW-DXLOrderOutValueRatio'</f>
        <v>0</v>
      </c>
      <c r="K251">
        <f>[1]!'2033.TW-DXLOrderValueDiffRatio'</f>
        <v>0</v>
      </c>
      <c r="L251">
        <f>[1]!'2033.TW-DLOrderValueDiffRatio'</f>
        <v>0</v>
      </c>
      <c r="M251" t="str">
        <f>[1]!'2033.TW-ExchangeIndustry'</f>
        <v>上市鋼鐵</v>
      </c>
      <c r="N251" t="str">
        <f>[1]!'2033.TW-Capital'</f>
        <v>8.07</v>
      </c>
      <c r="O251" t="str">
        <f>[1]!'2033.TW-Time'</f>
        <v>10:13:55</v>
      </c>
    </row>
    <row r="252" spans="1:15" x14ac:dyDescent="0.25">
      <c r="A252" t="str">
        <f>[1]!'2034.TW-ID'</f>
        <v>2034</v>
      </c>
      <c r="B252" t="str">
        <f>[1]!'2034.TW-Name'</f>
        <v>允強</v>
      </c>
      <c r="C252">
        <f>[1]!'2034.TW-Price'</f>
        <v>31.15</v>
      </c>
      <c r="D252">
        <f>[1]!'2034.TW-AvgPrice'</f>
        <v>31.5</v>
      </c>
      <c r="E252">
        <f>[1]!'2034.TW-PriceChangeRatio'</f>
        <v>-0.48</v>
      </c>
      <c r="F252" t="str">
        <f>[1]!'2034.TW-InOutRatioNumber'</f>
        <v>35.61%</v>
      </c>
      <c r="G252">
        <f>[1]!'2034.TW-PreTotalVolumeRate'</f>
        <v>0.57999999999999996</v>
      </c>
      <c r="H252">
        <f>[1]!'2034.TW-VolumeRatio'</f>
        <v>1.37</v>
      </c>
      <c r="I252">
        <f>[1]!'2034.TW-5DayAvgVol'</f>
        <v>2927</v>
      </c>
      <c r="J252">
        <f>[1]!'2034.TW-DXLOrderOutValueRatio'</f>
        <v>0</v>
      </c>
      <c r="K252">
        <f>[1]!'2034.TW-DXLOrderValueDiffRatio'</f>
        <v>-8.68</v>
      </c>
      <c r="L252">
        <f>[1]!'2034.TW-DLOrderValueDiffRatio'</f>
        <v>-3.36</v>
      </c>
      <c r="M252" t="str">
        <f>[1]!'2034.TW-ExchangeIndustry'</f>
        <v>上市鋼鐵</v>
      </c>
      <c r="N252" t="str">
        <f>[1]!'2034.TW-Capital'</f>
        <v>44.45</v>
      </c>
      <c r="O252" t="str">
        <f>[1]!'2034.TW-Time'</f>
        <v>10:15:12</v>
      </c>
    </row>
    <row r="253" spans="1:15" x14ac:dyDescent="0.25">
      <c r="A253" t="str">
        <f>[1]!'2038.TW-ID'</f>
        <v>2038</v>
      </c>
      <c r="B253" t="str">
        <f>[1]!'2038.TW-Name'</f>
        <v>海光</v>
      </c>
      <c r="C253">
        <f>[1]!'2038.TW-Price'</f>
        <v>33.049999999999997</v>
      </c>
      <c r="D253">
        <f>[1]!'2038.TW-AvgPrice'</f>
        <v>33.81</v>
      </c>
      <c r="E253">
        <f>[1]!'2038.TW-PriceChangeRatio'</f>
        <v>-0.9</v>
      </c>
      <c r="F253" t="str">
        <f>[1]!'2038.TW-InOutRatioNumber'</f>
        <v>48.94%</v>
      </c>
      <c r="G253">
        <f>[1]!'2038.TW-PreTotalVolumeRate'</f>
        <v>0.66</v>
      </c>
      <c r="H253">
        <f>[1]!'2038.TW-VolumeRatio'</f>
        <v>1.5</v>
      </c>
      <c r="I253">
        <f>[1]!'2038.TW-5DayAvgVol'</f>
        <v>3278</v>
      </c>
      <c r="J253">
        <f>[1]!'2038.TW-DXLOrderOutValueRatio'</f>
        <v>9.09</v>
      </c>
      <c r="K253">
        <f>[1]!'2038.TW-DXLOrderValueDiffRatio'</f>
        <v>9.09</v>
      </c>
      <c r="L253">
        <f>[1]!'2038.TW-DLOrderValueDiffRatio'</f>
        <v>-7.87</v>
      </c>
      <c r="M253" t="str">
        <f>[1]!'2038.TW-ExchangeIndustry'</f>
        <v>上市鋼鐵</v>
      </c>
      <c r="N253" t="str">
        <f>[1]!'2038.TW-Capital'</f>
        <v>18.13</v>
      </c>
      <c r="O253" t="str">
        <f>[1]!'2038.TW-Time'</f>
        <v>10:15:15</v>
      </c>
    </row>
    <row r="254" spans="1:15" x14ac:dyDescent="0.25">
      <c r="A254" t="str">
        <f>[1]!'2069.TW-ID'</f>
        <v>2069</v>
      </c>
      <c r="B254" t="str">
        <f>[1]!'2069.TW-Name'</f>
        <v>運錩</v>
      </c>
      <c r="C254">
        <f>[1]!'2069.TW-Price'</f>
        <v>31.1</v>
      </c>
      <c r="D254">
        <f>[1]!'2069.TW-AvgPrice'</f>
        <v>31.65</v>
      </c>
      <c r="E254">
        <f>[1]!'2069.TW-PriceChangeRatio'</f>
        <v>-0.32</v>
      </c>
      <c r="F254" t="str">
        <f>[1]!'2069.TW-InOutRatioNumber'</f>
        <v>47.54%</v>
      </c>
      <c r="G254">
        <f>[1]!'2069.TW-PreTotalVolumeRate'</f>
        <v>0.68</v>
      </c>
      <c r="H254">
        <f>[1]!'2069.TW-VolumeRatio'</f>
        <v>1.45</v>
      </c>
      <c r="I254">
        <f>[1]!'2069.TW-5DayAvgVol'</f>
        <v>3079</v>
      </c>
      <c r="J254">
        <f>[1]!'2069.TW-DXLOrderOutValueRatio'</f>
        <v>7.71</v>
      </c>
      <c r="K254">
        <f>[1]!'2069.TW-DXLOrderValueDiffRatio'</f>
        <v>3.43</v>
      </c>
      <c r="L254">
        <f>[1]!'2069.TW-DLOrderValueDiffRatio'</f>
        <v>-1.42</v>
      </c>
      <c r="M254" t="str">
        <f>[1]!'2069.TW-ExchangeIndustry'</f>
        <v>上市鋼鐵</v>
      </c>
      <c r="N254" t="str">
        <f>[1]!'2069.TW-Capital'</f>
        <v>16.64</v>
      </c>
      <c r="O254" t="str">
        <f>[1]!'2069.TW-Time'</f>
        <v>10:14:32</v>
      </c>
    </row>
    <row r="255" spans="1:15" x14ac:dyDescent="0.25">
      <c r="A255" t="str">
        <f>[1]!'2211.TW-ID'</f>
        <v>2211</v>
      </c>
      <c r="B255" t="str">
        <f>[1]!'2211.TW-Name'</f>
        <v>長榮鋼</v>
      </c>
      <c r="C255">
        <f>[1]!'2211.TW-Price'</f>
        <v>47.7</v>
      </c>
      <c r="D255">
        <f>[1]!'2211.TW-AvgPrice'</f>
        <v>47.71</v>
      </c>
      <c r="E255">
        <f>[1]!'2211.TW-PriceChangeRatio'</f>
        <v>0</v>
      </c>
      <c r="F255" t="str">
        <f>[1]!'2211.TW-InOutRatioNumber'</f>
        <v>31.11%</v>
      </c>
      <c r="G255">
        <f>[1]!'2211.TW-PreTotalVolumeRate'</f>
        <v>0.15</v>
      </c>
      <c r="H255">
        <f>[1]!'2211.TW-VolumeRatio'</f>
        <v>0.39</v>
      </c>
      <c r="I255">
        <f>[1]!'2211.TW-5DayAvgVol'</f>
        <v>305</v>
      </c>
      <c r="J255">
        <f>[1]!'2211.TW-DXLOrderOutValueRatio'</f>
        <v>0</v>
      </c>
      <c r="K255">
        <f>[1]!'2211.TW-DXLOrderValueDiffRatio'</f>
        <v>0</v>
      </c>
      <c r="L255">
        <f>[1]!'2211.TW-DLOrderValueDiffRatio'</f>
        <v>0</v>
      </c>
      <c r="M255" t="str">
        <f>[1]!'2211.TW-ExchangeIndustry'</f>
        <v>上市鋼鐵</v>
      </c>
      <c r="N255" t="str">
        <f>[1]!'2211.TW-Capital'</f>
        <v>42.00</v>
      </c>
      <c r="O255" t="str">
        <f>[1]!'2211.TW-Time'</f>
        <v>10:15:18</v>
      </c>
    </row>
    <row r="256" spans="1:15" x14ac:dyDescent="0.25">
      <c r="A256" t="str">
        <f>[1]!'3004.TW-ID'</f>
        <v>3004</v>
      </c>
      <c r="B256" t="str">
        <f>[1]!'3004.TW-Name'</f>
        <v>豐達科</v>
      </c>
      <c r="C256">
        <f>[1]!'3004.TW-Price'</f>
        <v>57.9</v>
      </c>
      <c r="D256">
        <f>[1]!'3004.TW-AvgPrice'</f>
        <v>58.15</v>
      </c>
      <c r="E256">
        <f>[1]!'3004.TW-PriceChangeRatio'</f>
        <v>-0.52</v>
      </c>
      <c r="F256" t="str">
        <f>[1]!'3004.TW-InOutRatioNumber'</f>
        <v>16.67%</v>
      </c>
      <c r="G256">
        <f>[1]!'3004.TW-PreTotalVolumeRate'</f>
        <v>0.5</v>
      </c>
      <c r="H256">
        <f>[1]!'3004.TW-VolumeRatio'</f>
        <v>1.5</v>
      </c>
      <c r="I256">
        <f>[1]!'3004.TW-5DayAvgVol'</f>
        <v>37</v>
      </c>
      <c r="J256">
        <f>[1]!'3004.TW-DXLOrderOutValueRatio'</f>
        <v>0</v>
      </c>
      <c r="K256">
        <f>[1]!'3004.TW-DXLOrderValueDiffRatio'</f>
        <v>0</v>
      </c>
      <c r="L256">
        <f>[1]!'3004.TW-DLOrderValueDiffRatio'</f>
        <v>0</v>
      </c>
      <c r="M256" t="str">
        <f>[1]!'3004.TW-ExchangeIndustry'</f>
        <v>上市鋼鐵</v>
      </c>
      <c r="N256" t="str">
        <f>[1]!'3004.TW-Capital'</f>
        <v>5.26</v>
      </c>
      <c r="O256" t="str">
        <f>[1]!'3004.TW-Time'</f>
        <v>09:44:37</v>
      </c>
    </row>
    <row r="257" spans="1:15" x14ac:dyDescent="0.25">
      <c r="A257" t="str">
        <f>[1]!'5007.TW-ID'</f>
        <v>5007</v>
      </c>
      <c r="B257" t="str">
        <f>[1]!'5007.TW-Name'</f>
        <v>三星</v>
      </c>
      <c r="C257" t="str">
        <f>[1]!'5007.TW-Price'</f>
        <v>--</v>
      </c>
      <c r="D257" t="str">
        <f>[1]!'5007.TW-AvgPrice'</f>
        <v>--</v>
      </c>
      <c r="E257" t="str">
        <f>[1]!'5007.TW-PriceChangeRatio'</f>
        <v>--</v>
      </c>
      <c r="F257" t="str">
        <f>[1]!'5007.TW-InOutRatioNumber'</f>
        <v>--</v>
      </c>
      <c r="G257">
        <f>[1]!'5007.TW-PreTotalVolumeRate'</f>
        <v>0</v>
      </c>
      <c r="H257">
        <f>[1]!'5007.TW-VolumeRatio'</f>
        <v>0</v>
      </c>
      <c r="I257">
        <f>[1]!'5007.TW-5DayAvgVol'</f>
        <v>32</v>
      </c>
      <c r="J257">
        <f>[1]!'5007.TW-DXLOrderOutValueRatio'</f>
        <v>0</v>
      </c>
      <c r="K257">
        <f>[1]!'5007.TW-DXLOrderValueDiffRatio'</f>
        <v>0</v>
      </c>
      <c r="L257">
        <f>[1]!'5007.TW-DLOrderValueDiffRatio'</f>
        <v>0</v>
      </c>
      <c r="M257" t="str">
        <f>[1]!'5007.TW-ExchangeIndustry'</f>
        <v>上市鋼鐵</v>
      </c>
      <c r="N257" t="str">
        <f>[1]!'5007.TW-Capital'</f>
        <v>29.49</v>
      </c>
      <c r="O257" t="str">
        <f>[1]!'5007.TW-Time'</f>
        <v>--</v>
      </c>
    </row>
    <row r="258" spans="1:15" x14ac:dyDescent="0.25">
      <c r="A258" t="str">
        <f>[1]!'5538.TW-ID'</f>
        <v>5538</v>
      </c>
      <c r="B258" t="str">
        <f>[1]!'5538.TW-Name'</f>
        <v>東明-KY</v>
      </c>
      <c r="C258">
        <f>[1]!'5538.TW-Price'</f>
        <v>40.5</v>
      </c>
      <c r="D258">
        <f>[1]!'5538.TW-AvgPrice'</f>
        <v>40.549999999999997</v>
      </c>
      <c r="E258">
        <f>[1]!'5538.TW-PriceChangeRatio'</f>
        <v>-0.49</v>
      </c>
      <c r="F258" t="str">
        <f>[1]!'5538.TW-InOutRatioNumber'</f>
        <v>12.50%</v>
      </c>
      <c r="G258">
        <f>[1]!'5538.TW-PreTotalVolumeRate'</f>
        <v>0.59</v>
      </c>
      <c r="H258">
        <f>[1]!'5538.TW-VolumeRatio'</f>
        <v>1.56</v>
      </c>
      <c r="I258">
        <f>[1]!'5538.TW-5DayAvgVol'</f>
        <v>75</v>
      </c>
      <c r="J258">
        <f>[1]!'5538.TW-DXLOrderOutValueRatio'</f>
        <v>0</v>
      </c>
      <c r="K258">
        <f>[1]!'5538.TW-DXLOrderValueDiffRatio'</f>
        <v>0</v>
      </c>
      <c r="L258">
        <f>[1]!'5538.TW-DLOrderValueDiffRatio'</f>
        <v>0</v>
      </c>
      <c r="M258" t="str">
        <f>[1]!'5538.TW-ExchangeIndustry'</f>
        <v>上市鋼鐵</v>
      </c>
      <c r="N258" t="str">
        <f>[1]!'5538.TW-Capital'</f>
        <v>20.12</v>
      </c>
      <c r="O258" t="str">
        <f>[1]!'5538.TW-Time'</f>
        <v>10:12:26</v>
      </c>
    </row>
    <row r="259" spans="1:15" x14ac:dyDescent="0.25">
      <c r="A259" t="str">
        <f>[1]!'9958.TW-ID'</f>
        <v>9958</v>
      </c>
      <c r="B259" t="str">
        <f>[1]!'9958.TW-Name'</f>
        <v>世紀鋼</v>
      </c>
      <c r="C259">
        <f>[1]!'9958.TW-Price'</f>
        <v>108</v>
      </c>
      <c r="D259">
        <f>[1]!'9958.TW-AvgPrice'</f>
        <v>109.52</v>
      </c>
      <c r="E259">
        <f>[1]!'9958.TW-PriceChangeRatio'</f>
        <v>-2.2599999999999998</v>
      </c>
      <c r="F259" t="str">
        <f>[1]!'9958.TW-InOutRatioNumber'</f>
        <v>33.83%</v>
      </c>
      <c r="G259">
        <f>[1]!'9958.TW-PreTotalVolumeRate'</f>
        <v>0.22</v>
      </c>
      <c r="H259">
        <f>[1]!'9958.TW-VolumeRatio'</f>
        <v>0.44</v>
      </c>
      <c r="I259">
        <f>[1]!'9958.TW-5DayAvgVol'</f>
        <v>8635</v>
      </c>
      <c r="J259">
        <f>[1]!'9958.TW-DXLOrderOutValueRatio'</f>
        <v>6.45</v>
      </c>
      <c r="K259">
        <f>[1]!'9958.TW-DXLOrderValueDiffRatio'</f>
        <v>-4.74</v>
      </c>
      <c r="L259">
        <f>[1]!'9958.TW-DLOrderValueDiffRatio'</f>
        <v>-5.49</v>
      </c>
      <c r="M259" t="str">
        <f>[1]!'9958.TW-ExchangeIndustry'</f>
        <v>上市鋼鐵</v>
      </c>
      <c r="N259" t="str">
        <f>[1]!'9958.TW-Capital'</f>
        <v>23.16</v>
      </c>
      <c r="O259" t="str">
        <f>[1]!'9958.TW-Time'</f>
        <v>10:14:53</v>
      </c>
    </row>
    <row r="260" spans="1:15" x14ac:dyDescent="0.25">
      <c r="A260" t="str">
        <f>[1]!'2101.TW-ID'</f>
        <v>2101</v>
      </c>
      <c r="B260" t="str">
        <f>[1]!'2101.TW-Name'</f>
        <v>南港</v>
      </c>
      <c r="C260">
        <f>[1]!'2101.TW-Price'</f>
        <v>41.35</v>
      </c>
      <c r="D260">
        <f>[1]!'2101.TW-AvgPrice'</f>
        <v>41.44</v>
      </c>
      <c r="E260">
        <f>[1]!'2101.TW-PriceChangeRatio'</f>
        <v>1.97</v>
      </c>
      <c r="F260" t="str">
        <f>[1]!'2101.TW-InOutRatioNumber'</f>
        <v>69.74%</v>
      </c>
      <c r="G260">
        <f>[1]!'2101.TW-PreTotalVolumeRate'</f>
        <v>0.31</v>
      </c>
      <c r="H260">
        <f>[1]!'2101.TW-VolumeRatio'</f>
        <v>0.74</v>
      </c>
      <c r="I260">
        <f>[1]!'2101.TW-5DayAvgVol'</f>
        <v>3263</v>
      </c>
      <c r="J260">
        <f>[1]!'2101.TW-DXLOrderOutValueRatio'</f>
        <v>27.73</v>
      </c>
      <c r="K260">
        <f>[1]!'2101.TW-DXLOrderValueDiffRatio'</f>
        <v>26.31</v>
      </c>
      <c r="L260">
        <f>[1]!'2101.TW-DLOrderValueDiffRatio'</f>
        <v>-1.29</v>
      </c>
      <c r="M260" t="str">
        <f>[1]!'2101.TW-ExchangeIndustry'</f>
        <v>上市橡膠</v>
      </c>
      <c r="N260" t="str">
        <f>[1]!'2101.TW-Capital'</f>
        <v>83.39</v>
      </c>
      <c r="O260" t="str">
        <f>[1]!'2101.TW-Time'</f>
        <v>10:14:27</v>
      </c>
    </row>
    <row r="261" spans="1:15" x14ac:dyDescent="0.25">
      <c r="A261" t="str">
        <f>[1]!'2102.TW-ID'</f>
        <v>2102</v>
      </c>
      <c r="B261" t="str">
        <f>[1]!'2102.TW-Name'</f>
        <v>泰豐</v>
      </c>
      <c r="C261">
        <f>[1]!'2102.TW-Price'</f>
        <v>30.15</v>
      </c>
      <c r="D261">
        <f>[1]!'2102.TW-AvgPrice'</f>
        <v>29.6</v>
      </c>
      <c r="E261">
        <f>[1]!'2102.TW-PriceChangeRatio'</f>
        <v>7.1</v>
      </c>
      <c r="F261" t="str">
        <f>[1]!'2102.TW-InOutRatioNumber'</f>
        <v>70.98%</v>
      </c>
      <c r="G261">
        <f>[1]!'2102.TW-PreTotalVolumeRate'</f>
        <v>0.35</v>
      </c>
      <c r="H261">
        <f>[1]!'2102.TW-VolumeRatio'</f>
        <v>0.73</v>
      </c>
      <c r="I261">
        <f>[1]!'2102.TW-5DayAvgVol'</f>
        <v>3387</v>
      </c>
      <c r="J261">
        <f>[1]!'2102.TW-DXLOrderOutValueRatio'</f>
        <v>22.48</v>
      </c>
      <c r="K261">
        <f>[1]!'2102.TW-DXLOrderValueDiffRatio'</f>
        <v>19.77</v>
      </c>
      <c r="L261">
        <f>[1]!'2102.TW-DLOrderValueDiffRatio'</f>
        <v>13.16</v>
      </c>
      <c r="M261" t="str">
        <f>[1]!'2102.TW-ExchangeIndustry'</f>
        <v>上市橡膠</v>
      </c>
      <c r="N261" t="str">
        <f>[1]!'2102.TW-Capital'</f>
        <v>47.33</v>
      </c>
      <c r="O261" t="str">
        <f>[1]!'2102.TW-Time'</f>
        <v>10:15:00</v>
      </c>
    </row>
    <row r="262" spans="1:15" x14ac:dyDescent="0.25">
      <c r="A262" t="str">
        <f>[1]!'2103.TW-ID'</f>
        <v>2103</v>
      </c>
      <c r="B262" t="str">
        <f>[1]!'2103.TW-Name'</f>
        <v>台橡</v>
      </c>
      <c r="C262">
        <f>[1]!'2103.TW-Price'</f>
        <v>30.85</v>
      </c>
      <c r="D262">
        <f>[1]!'2103.TW-AvgPrice'</f>
        <v>30.83</v>
      </c>
      <c r="E262">
        <f>[1]!'2103.TW-PriceChangeRatio'</f>
        <v>4.58</v>
      </c>
      <c r="F262" t="str">
        <f>[1]!'2103.TW-InOutRatioNumber'</f>
        <v>67.54%</v>
      </c>
      <c r="G262">
        <f>[1]!'2103.TW-PreTotalVolumeRate'</f>
        <v>3.12</v>
      </c>
      <c r="H262">
        <f>[1]!'2103.TW-VolumeRatio'</f>
        <v>7.28</v>
      </c>
      <c r="I262">
        <f>[1]!'2103.TW-5DayAvgVol'</f>
        <v>2465</v>
      </c>
      <c r="J262">
        <f>[1]!'2103.TW-DXLOrderOutValueRatio'</f>
        <v>35.24</v>
      </c>
      <c r="K262">
        <f>[1]!'2103.TW-DXLOrderValueDiffRatio'</f>
        <v>28.64</v>
      </c>
      <c r="L262">
        <f>[1]!'2103.TW-DLOrderValueDiffRatio'</f>
        <v>11.01</v>
      </c>
      <c r="M262" t="str">
        <f>[1]!'2103.TW-ExchangeIndustry'</f>
        <v>上市橡膠</v>
      </c>
      <c r="N262" t="str">
        <f>[1]!'2103.TW-Capital'</f>
        <v>82.57</v>
      </c>
      <c r="O262" t="str">
        <f>[1]!'2103.TW-Time'</f>
        <v>10:14:51</v>
      </c>
    </row>
    <row r="263" spans="1:15" x14ac:dyDescent="0.25">
      <c r="A263" t="str">
        <f>[1]!'2104.TW-ID'</f>
        <v>2104</v>
      </c>
      <c r="B263" t="str">
        <f>[1]!'2104.TW-Name'</f>
        <v>國際中橡</v>
      </c>
      <c r="C263">
        <f>[1]!'2104.TW-Price'</f>
        <v>23.1</v>
      </c>
      <c r="D263">
        <f>[1]!'2104.TW-AvgPrice'</f>
        <v>23.03</v>
      </c>
      <c r="E263">
        <f>[1]!'2104.TW-PriceChangeRatio'</f>
        <v>1.32</v>
      </c>
      <c r="F263" t="str">
        <f>[1]!'2104.TW-InOutRatioNumber'</f>
        <v>60.63%</v>
      </c>
      <c r="G263">
        <f>[1]!'2104.TW-PreTotalVolumeRate'</f>
        <v>0.83</v>
      </c>
      <c r="H263">
        <f>[1]!'2104.TW-VolumeRatio'</f>
        <v>2.1</v>
      </c>
      <c r="I263">
        <f>[1]!'2104.TW-5DayAvgVol'</f>
        <v>1307</v>
      </c>
      <c r="J263">
        <f>[1]!'2104.TW-DXLOrderOutValueRatio'</f>
        <v>5.6</v>
      </c>
      <c r="K263">
        <f>[1]!'2104.TW-DXLOrderValueDiffRatio'</f>
        <v>5.6</v>
      </c>
      <c r="L263">
        <f>[1]!'2104.TW-DLOrderValueDiffRatio'</f>
        <v>9.7799999999999994</v>
      </c>
      <c r="M263" t="str">
        <f>[1]!'2104.TW-ExchangeIndustry'</f>
        <v>上市橡膠</v>
      </c>
      <c r="N263" t="str">
        <f>[1]!'2104.TW-Capital'</f>
        <v>98.47</v>
      </c>
      <c r="O263" t="str">
        <f>[1]!'2104.TW-Time'</f>
        <v>10:14:22</v>
      </c>
    </row>
    <row r="264" spans="1:15" x14ac:dyDescent="0.25">
      <c r="A264" t="str">
        <f>[1]!'2105.TW-ID'</f>
        <v>2105</v>
      </c>
      <c r="B264" t="str">
        <f>[1]!'2105.TW-Name'</f>
        <v>正新</v>
      </c>
      <c r="C264">
        <f>[1]!'2105.TW-Price'</f>
        <v>35.049999999999997</v>
      </c>
      <c r="D264">
        <f>[1]!'2105.TW-AvgPrice'</f>
        <v>35</v>
      </c>
      <c r="E264">
        <f>[1]!'2105.TW-PriceChangeRatio'</f>
        <v>0.56999999999999995</v>
      </c>
      <c r="F264" t="str">
        <f>[1]!'2105.TW-InOutRatioNumber'</f>
        <v>47.95%</v>
      </c>
      <c r="G264">
        <f>[1]!'2105.TW-PreTotalVolumeRate'</f>
        <v>0.35</v>
      </c>
      <c r="H264">
        <f>[1]!'2105.TW-VolumeRatio'</f>
        <v>0.8</v>
      </c>
      <c r="I264">
        <f>[1]!'2105.TW-5DayAvgVol'</f>
        <v>4040</v>
      </c>
      <c r="J264">
        <f>[1]!'2105.TW-DXLOrderOutValueRatio'</f>
        <v>6.85</v>
      </c>
      <c r="K264">
        <f>[1]!'2105.TW-DXLOrderValueDiffRatio'</f>
        <v>1.51</v>
      </c>
      <c r="L264">
        <f>[1]!'2105.TW-DLOrderValueDiffRatio'</f>
        <v>0.19</v>
      </c>
      <c r="M264" t="str">
        <f>[1]!'2105.TW-ExchangeIndustry'</f>
        <v>上市橡膠</v>
      </c>
      <c r="N264" t="str">
        <f>[1]!'2105.TW-Capital'</f>
        <v>324.14</v>
      </c>
      <c r="O264" t="str">
        <f>[1]!'2105.TW-Time'</f>
        <v>10:15:13</v>
      </c>
    </row>
    <row r="265" spans="1:15" x14ac:dyDescent="0.25">
      <c r="A265" t="str">
        <f>[1]!'2106.TW-ID'</f>
        <v>2106</v>
      </c>
      <c r="B265" t="str">
        <f>[1]!'2106.TW-Name'</f>
        <v>建大</v>
      </c>
      <c r="C265">
        <f>[1]!'2106.TW-Price'</f>
        <v>31.3</v>
      </c>
      <c r="D265">
        <f>[1]!'2106.TW-AvgPrice'</f>
        <v>31.3</v>
      </c>
      <c r="E265">
        <f>[1]!'2106.TW-PriceChangeRatio'</f>
        <v>0.16</v>
      </c>
      <c r="F265" t="str">
        <f>[1]!'2106.TW-InOutRatioNumber'</f>
        <v>54.25%</v>
      </c>
      <c r="G265">
        <f>[1]!'2106.TW-PreTotalVolumeRate'</f>
        <v>0.18</v>
      </c>
      <c r="H265">
        <f>[1]!'2106.TW-VolumeRatio'</f>
        <v>0.43</v>
      </c>
      <c r="I265">
        <f>[1]!'2106.TW-5DayAvgVol'</f>
        <v>792</v>
      </c>
      <c r="J265">
        <f>[1]!'2106.TW-DXLOrderOutValueRatio'</f>
        <v>0</v>
      </c>
      <c r="K265">
        <f>[1]!'2106.TW-DXLOrderValueDiffRatio'</f>
        <v>0</v>
      </c>
      <c r="L265">
        <f>[1]!'2106.TW-DLOrderValueDiffRatio'</f>
        <v>0</v>
      </c>
      <c r="M265" t="str">
        <f>[1]!'2106.TW-ExchangeIndustry'</f>
        <v>上市橡膠</v>
      </c>
      <c r="N265" t="str">
        <f>[1]!'2106.TW-Capital'</f>
        <v>90.94</v>
      </c>
      <c r="O265" t="str">
        <f>[1]!'2106.TW-Time'</f>
        <v>10:12:46</v>
      </c>
    </row>
    <row r="266" spans="1:15" x14ac:dyDescent="0.25">
      <c r="A266" t="str">
        <f>[1]!'2107.TW-ID'</f>
        <v>2107</v>
      </c>
      <c r="B266" t="str">
        <f>[1]!'2107.TW-Name'</f>
        <v>厚生</v>
      </c>
      <c r="C266">
        <f>[1]!'2107.TW-Price'</f>
        <v>22.9</v>
      </c>
      <c r="D266">
        <f>[1]!'2107.TW-AvgPrice'</f>
        <v>22.89</v>
      </c>
      <c r="E266">
        <f>[1]!'2107.TW-PriceChangeRatio'</f>
        <v>0.66</v>
      </c>
      <c r="F266" t="str">
        <f>[1]!'2107.TW-InOutRatioNumber'</f>
        <v>48.94%</v>
      </c>
      <c r="G266">
        <f>[1]!'2107.TW-PreTotalVolumeRate'</f>
        <v>0.09</v>
      </c>
      <c r="H266">
        <f>[1]!'2107.TW-VolumeRatio'</f>
        <v>0.17</v>
      </c>
      <c r="I266">
        <f>[1]!'2107.TW-5DayAvgVol'</f>
        <v>984</v>
      </c>
      <c r="J266">
        <f>[1]!'2107.TW-DXLOrderOutValueRatio'</f>
        <v>0</v>
      </c>
      <c r="K266">
        <f>[1]!'2107.TW-DXLOrderValueDiffRatio'</f>
        <v>0</v>
      </c>
      <c r="L266">
        <f>[1]!'2107.TW-DLOrderValueDiffRatio'</f>
        <v>0</v>
      </c>
      <c r="M266" t="str">
        <f>[1]!'2107.TW-ExchangeIndustry'</f>
        <v>上市橡膠</v>
      </c>
      <c r="N266" t="str">
        <f>[1]!'2107.TW-Capital'</f>
        <v>34.23</v>
      </c>
      <c r="O266" t="str">
        <f>[1]!'2107.TW-Time'</f>
        <v>10:10:01</v>
      </c>
    </row>
    <row r="267" spans="1:15" x14ac:dyDescent="0.25">
      <c r="A267" t="str">
        <f>[1]!'2108.TW-ID'</f>
        <v>2108</v>
      </c>
      <c r="B267" t="str">
        <f>[1]!'2108.TW-Name'</f>
        <v>南帝</v>
      </c>
      <c r="C267">
        <f>[1]!'2108.TW-Price'</f>
        <v>83.5</v>
      </c>
      <c r="D267">
        <f>[1]!'2108.TW-AvgPrice'</f>
        <v>84.08</v>
      </c>
      <c r="E267">
        <f>[1]!'2108.TW-PriceChangeRatio'</f>
        <v>-1.88</v>
      </c>
      <c r="F267" t="str">
        <f>[1]!'2108.TW-InOutRatioNumber'</f>
        <v>25.77%</v>
      </c>
      <c r="G267">
        <f>[1]!'2108.TW-PreTotalVolumeRate'</f>
        <v>0.28999999999999998</v>
      </c>
      <c r="H267">
        <f>[1]!'2108.TW-VolumeRatio'</f>
        <v>0.63</v>
      </c>
      <c r="I267">
        <f>[1]!'2108.TW-5DayAvgVol'</f>
        <v>2459</v>
      </c>
      <c r="J267">
        <f>[1]!'2108.TW-DXLOrderOutValueRatio'</f>
        <v>0</v>
      </c>
      <c r="K267">
        <f>[1]!'2108.TW-DXLOrderValueDiffRatio'</f>
        <v>-17.13</v>
      </c>
      <c r="L267">
        <f>[1]!'2108.TW-DLOrderValueDiffRatio'</f>
        <v>-9.4700000000000006</v>
      </c>
      <c r="M267" t="str">
        <f>[1]!'2108.TW-ExchangeIndustry'</f>
        <v>上市橡膠</v>
      </c>
      <c r="N267" t="str">
        <f>[1]!'2108.TW-Capital'</f>
        <v>49.24</v>
      </c>
      <c r="O267" t="str">
        <f>[1]!'2108.TW-Time'</f>
        <v>10:15:08</v>
      </c>
    </row>
    <row r="268" spans="1:15" x14ac:dyDescent="0.25">
      <c r="A268" t="str">
        <f>[1]!'2109.TW-ID'</f>
        <v>2109</v>
      </c>
      <c r="B268" t="str">
        <f>[1]!'2109.TW-Name'</f>
        <v>華豐</v>
      </c>
      <c r="C268">
        <f>[1]!'2109.TW-Price'</f>
        <v>15.85</v>
      </c>
      <c r="D268">
        <f>[1]!'2109.TW-AvgPrice'</f>
        <v>15.82</v>
      </c>
      <c r="E268">
        <f>[1]!'2109.TW-PriceChangeRatio'</f>
        <v>0.96</v>
      </c>
      <c r="F268" t="str">
        <f>[1]!'2109.TW-InOutRatioNumber'</f>
        <v>49.38%</v>
      </c>
      <c r="G268">
        <f>[1]!'2109.TW-PreTotalVolumeRate'</f>
        <v>0.56999999999999995</v>
      </c>
      <c r="H268">
        <f>[1]!'2109.TW-VolumeRatio'</f>
        <v>2</v>
      </c>
      <c r="I268">
        <f>[1]!'2109.TW-5DayAvgVol'</f>
        <v>265</v>
      </c>
      <c r="J268">
        <f>[1]!'2109.TW-DXLOrderOutValueRatio'</f>
        <v>0</v>
      </c>
      <c r="K268">
        <f>[1]!'2109.TW-DXLOrderValueDiffRatio'</f>
        <v>0</v>
      </c>
      <c r="L268">
        <f>[1]!'2109.TW-DLOrderValueDiffRatio'</f>
        <v>0</v>
      </c>
      <c r="M268" t="str">
        <f>[1]!'2109.TW-ExchangeIndustry'</f>
        <v>上市橡膠</v>
      </c>
      <c r="N268" t="str">
        <f>[1]!'2109.TW-Capital'</f>
        <v>27.93</v>
      </c>
      <c r="O268" t="str">
        <f>[1]!'2109.TW-Time'</f>
        <v>10:09:17</v>
      </c>
    </row>
    <row r="269" spans="1:15" x14ac:dyDescent="0.25">
      <c r="A269" t="str">
        <f>[1]!'2114.TW-ID'</f>
        <v>2114</v>
      </c>
      <c r="B269" t="str">
        <f>[1]!'2114.TW-Name'</f>
        <v>鑫永銓</v>
      </c>
      <c r="C269">
        <f>[1]!'2114.TW-Price'</f>
        <v>117.5</v>
      </c>
      <c r="D269">
        <f>[1]!'2114.TW-AvgPrice'</f>
        <v>117.68</v>
      </c>
      <c r="E269">
        <f>[1]!'2114.TW-PriceChangeRatio'</f>
        <v>-0.42</v>
      </c>
      <c r="F269" t="str">
        <f>[1]!'2114.TW-InOutRatioNumber'</f>
        <v>33.33%</v>
      </c>
      <c r="G269">
        <f>[1]!'2114.TW-PreTotalVolumeRate'</f>
        <v>0.14000000000000001</v>
      </c>
      <c r="H269">
        <f>[1]!'2114.TW-VolumeRatio'</f>
        <v>0.27</v>
      </c>
      <c r="I269">
        <f>[1]!'2114.TW-5DayAvgVol'</f>
        <v>90</v>
      </c>
      <c r="J269">
        <f>[1]!'2114.TW-DXLOrderOutValueRatio'</f>
        <v>0</v>
      </c>
      <c r="K269">
        <f>[1]!'2114.TW-DXLOrderValueDiffRatio'</f>
        <v>0</v>
      </c>
      <c r="L269">
        <f>[1]!'2114.TW-DLOrderValueDiffRatio'</f>
        <v>0</v>
      </c>
      <c r="M269" t="str">
        <f>[1]!'2114.TW-ExchangeIndustry'</f>
        <v>上市橡膠</v>
      </c>
      <c r="N269" t="str">
        <f>[1]!'2114.TW-Capital'</f>
        <v>7.80</v>
      </c>
      <c r="O269" t="str">
        <f>[1]!'2114.TW-Time'</f>
        <v>10:11:10</v>
      </c>
    </row>
    <row r="270" spans="1:15" x14ac:dyDescent="0.25">
      <c r="A270" t="str">
        <f>[1]!'6582.TW-ID'</f>
        <v>6582</v>
      </c>
      <c r="B270" t="str">
        <f>[1]!'6582.TW-Name'</f>
        <v>申豐</v>
      </c>
      <c r="C270">
        <f>[1]!'6582.TW-Price'</f>
        <v>178.5</v>
      </c>
      <c r="D270">
        <f>[1]!'6582.TW-AvgPrice'</f>
        <v>179.03</v>
      </c>
      <c r="E270">
        <f>[1]!'6582.TW-PriceChangeRatio'</f>
        <v>0</v>
      </c>
      <c r="F270" t="str">
        <f>[1]!'6582.TW-InOutRatioNumber'</f>
        <v>25.00%</v>
      </c>
      <c r="G270">
        <f>[1]!'6582.TW-PreTotalVolumeRate'</f>
        <v>7.0000000000000007E-2</v>
      </c>
      <c r="H270">
        <f>[1]!'6582.TW-VolumeRatio'</f>
        <v>0.15</v>
      </c>
      <c r="I270">
        <f>[1]!'6582.TW-5DayAvgVol'</f>
        <v>222</v>
      </c>
      <c r="J270">
        <f>[1]!'6582.TW-DXLOrderOutValueRatio'</f>
        <v>0</v>
      </c>
      <c r="K270">
        <f>[1]!'6582.TW-DXLOrderValueDiffRatio'</f>
        <v>0</v>
      </c>
      <c r="L270">
        <f>[1]!'6582.TW-DLOrderValueDiffRatio'</f>
        <v>0</v>
      </c>
      <c r="M270" t="str">
        <f>[1]!'6582.TW-ExchangeIndustry'</f>
        <v>上市橡膠</v>
      </c>
      <c r="N270" t="str">
        <f>[1]!'6582.TW-Capital'</f>
        <v>10.62</v>
      </c>
      <c r="O270" t="str">
        <f>[1]!'6582.TW-Time'</f>
        <v>10:06:30</v>
      </c>
    </row>
    <row r="271" spans="1:15" x14ac:dyDescent="0.25">
      <c r="A271" t="str">
        <f>[1]!'1319.TW-ID'</f>
        <v>1319</v>
      </c>
      <c r="B271" t="str">
        <f>[1]!'1319.TW-Name'</f>
        <v>東陽</v>
      </c>
      <c r="C271">
        <f>[1]!'1319.TW-Price'</f>
        <v>32.9</v>
      </c>
      <c r="D271">
        <f>[1]!'1319.TW-AvgPrice'</f>
        <v>32.97</v>
      </c>
      <c r="E271">
        <f>[1]!'1319.TW-PriceChangeRatio'</f>
        <v>-0.6</v>
      </c>
      <c r="F271" t="str">
        <f>[1]!'1319.TW-InOutRatioNumber'</f>
        <v>35.77%</v>
      </c>
      <c r="G271">
        <f>[1]!'1319.TW-PreTotalVolumeRate'</f>
        <v>0.38</v>
      </c>
      <c r="H271">
        <f>[1]!'1319.TW-VolumeRatio'</f>
        <v>1.31</v>
      </c>
      <c r="I271">
        <f>[1]!'1319.TW-5DayAvgVol'</f>
        <v>438</v>
      </c>
      <c r="J271">
        <f>[1]!'1319.TW-DXLOrderOutValueRatio'</f>
        <v>0</v>
      </c>
      <c r="K271">
        <f>[1]!'1319.TW-DXLOrderValueDiffRatio'</f>
        <v>0</v>
      </c>
      <c r="L271">
        <f>[1]!'1319.TW-DLOrderValueDiffRatio'</f>
        <v>0</v>
      </c>
      <c r="M271" t="str">
        <f>[1]!'1319.TW-ExchangeIndustry'</f>
        <v>上市汽車</v>
      </c>
      <c r="N271" t="str">
        <f>[1]!'1319.TW-Capital'</f>
        <v>59.15</v>
      </c>
      <c r="O271" t="str">
        <f>[1]!'1319.TW-Time'</f>
        <v>10:13:15</v>
      </c>
    </row>
    <row r="272" spans="1:15" x14ac:dyDescent="0.25">
      <c r="A272" t="str">
        <f>[1]!'1338.TW-ID'</f>
        <v>1338</v>
      </c>
      <c r="B272" t="str">
        <f>[1]!'1338.TW-Name'</f>
        <v>廣華-KY</v>
      </c>
      <c r="C272">
        <f>[1]!'1338.TW-Price'</f>
        <v>46.5</v>
      </c>
      <c r="D272">
        <f>[1]!'1338.TW-AvgPrice'</f>
        <v>46.25</v>
      </c>
      <c r="E272">
        <f>[1]!'1338.TW-PriceChangeRatio'</f>
        <v>1.64</v>
      </c>
      <c r="F272" t="str">
        <f>[1]!'1338.TW-InOutRatioNumber'</f>
        <v>54.67%</v>
      </c>
      <c r="G272">
        <f>[1]!'1338.TW-PreTotalVolumeRate'</f>
        <v>0.69</v>
      </c>
      <c r="H272">
        <f>[1]!'1338.TW-VolumeRatio'</f>
        <v>2.1800000000000002</v>
      </c>
      <c r="I272">
        <f>[1]!'1338.TW-5DayAvgVol'</f>
        <v>116</v>
      </c>
      <c r="J272">
        <f>[1]!'1338.TW-DXLOrderOutValueRatio'</f>
        <v>0</v>
      </c>
      <c r="K272">
        <f>[1]!'1338.TW-DXLOrderValueDiffRatio'</f>
        <v>0</v>
      </c>
      <c r="L272">
        <f>[1]!'1338.TW-DLOrderValueDiffRatio'</f>
        <v>-21.26</v>
      </c>
      <c r="M272" t="str">
        <f>[1]!'1338.TW-ExchangeIndustry'</f>
        <v>上市汽車</v>
      </c>
      <c r="N272" t="str">
        <f>[1]!'1338.TW-Capital'</f>
        <v>8.38</v>
      </c>
      <c r="O272" t="str">
        <f>[1]!'1338.TW-Time'</f>
        <v>10:09:58</v>
      </c>
    </row>
    <row r="273" spans="1:15" x14ac:dyDescent="0.25">
      <c r="A273" t="str">
        <f>[1]!'1339.TW-ID'</f>
        <v>1339</v>
      </c>
      <c r="B273" t="str">
        <f>[1]!'1339.TW-Name'</f>
        <v>昭輝</v>
      </c>
      <c r="C273">
        <f>[1]!'1339.TW-Price'</f>
        <v>34.4</v>
      </c>
      <c r="D273">
        <f>[1]!'1339.TW-AvgPrice'</f>
        <v>34.159999999999997</v>
      </c>
      <c r="E273">
        <f>[1]!'1339.TW-PriceChangeRatio'</f>
        <v>0.44</v>
      </c>
      <c r="F273" t="str">
        <f>[1]!'1339.TW-InOutRatioNumber'</f>
        <v>30.00%</v>
      </c>
      <c r="G273">
        <f>[1]!'1339.TW-PreTotalVolumeRate'</f>
        <v>0.23</v>
      </c>
      <c r="H273">
        <f>[1]!'1339.TW-VolumeRatio'</f>
        <v>0</v>
      </c>
      <c r="I273">
        <f>[1]!'1339.TW-5DayAvgVol'</f>
        <v>27</v>
      </c>
      <c r="J273">
        <f>[1]!'1339.TW-DXLOrderOutValueRatio'</f>
        <v>0</v>
      </c>
      <c r="K273">
        <f>[1]!'1339.TW-DXLOrderValueDiffRatio'</f>
        <v>0</v>
      </c>
      <c r="L273">
        <f>[1]!'1339.TW-DLOrderValueDiffRatio'</f>
        <v>0</v>
      </c>
      <c r="M273" t="str">
        <f>[1]!'1339.TW-ExchangeIndustry'</f>
        <v>上市汽車</v>
      </c>
      <c r="N273" t="str">
        <f>[1]!'1339.TW-Capital'</f>
        <v>7.41</v>
      </c>
      <c r="O273" t="str">
        <f>[1]!'1339.TW-Time'</f>
        <v>09:34:42</v>
      </c>
    </row>
    <row r="274" spans="1:15" x14ac:dyDescent="0.25">
      <c r="A274" t="str">
        <f>[1]!'1512.TW-ID'</f>
        <v>1512</v>
      </c>
      <c r="B274" t="str">
        <f>[1]!'1512.TW-Name'</f>
        <v>瑞利</v>
      </c>
      <c r="C274">
        <f>[1]!'1512.TW-Price'</f>
        <v>3.66</v>
      </c>
      <c r="D274">
        <f>[1]!'1512.TW-AvgPrice'</f>
        <v>3.66</v>
      </c>
      <c r="E274">
        <f>[1]!'1512.TW-PriceChangeRatio'</f>
        <v>-1.08</v>
      </c>
      <c r="F274" t="str">
        <f>[1]!'1512.TW-InOutRatioNumber'</f>
        <v>0.00%</v>
      </c>
      <c r="G274">
        <f>[1]!'1512.TW-PreTotalVolumeRate'</f>
        <v>0.09</v>
      </c>
      <c r="H274">
        <f>[1]!'1512.TW-VolumeRatio'</f>
        <v>0</v>
      </c>
      <c r="I274">
        <f>[1]!'1512.TW-5DayAvgVol'</f>
        <v>95</v>
      </c>
      <c r="J274">
        <f>[1]!'1512.TW-DXLOrderOutValueRatio'</f>
        <v>0</v>
      </c>
      <c r="K274">
        <f>[1]!'1512.TW-DXLOrderValueDiffRatio'</f>
        <v>0</v>
      </c>
      <c r="L274">
        <f>[1]!'1512.TW-DLOrderValueDiffRatio'</f>
        <v>0</v>
      </c>
      <c r="M274" t="str">
        <f>[1]!'1512.TW-ExchangeIndustry'</f>
        <v>上市汽車</v>
      </c>
      <c r="N274" t="str">
        <f>[1]!'1512.TW-Capital'</f>
        <v>23.67</v>
      </c>
      <c r="O274" t="str">
        <f>[1]!'1512.TW-Time'</f>
        <v>10:00:08</v>
      </c>
    </row>
    <row r="275" spans="1:15" x14ac:dyDescent="0.25">
      <c r="A275" t="str">
        <f>[1]!'1521.TW-ID'</f>
        <v>1521</v>
      </c>
      <c r="B275" t="str">
        <f>[1]!'1521.TW-Name'</f>
        <v>大億</v>
      </c>
      <c r="C275">
        <f>[1]!'1521.TW-Price'</f>
        <v>42.5</v>
      </c>
      <c r="D275">
        <f>[1]!'1521.TW-AvgPrice'</f>
        <v>42.61</v>
      </c>
      <c r="E275">
        <f>[1]!'1521.TW-PriceChangeRatio'</f>
        <v>-0.35</v>
      </c>
      <c r="F275" t="str">
        <f>[1]!'1521.TW-InOutRatioNumber'</f>
        <v>16.67%</v>
      </c>
      <c r="G275">
        <f>[1]!'1521.TW-PreTotalVolumeRate'</f>
        <v>0.71</v>
      </c>
      <c r="H275">
        <f>[1]!'1521.TW-VolumeRatio'</f>
        <v>0</v>
      </c>
      <c r="I275">
        <f>[1]!'1521.TW-5DayAvgVol'</f>
        <v>14</v>
      </c>
      <c r="J275">
        <f>[1]!'1521.TW-DXLOrderOutValueRatio'</f>
        <v>0</v>
      </c>
      <c r="K275">
        <f>[1]!'1521.TW-DXLOrderValueDiffRatio'</f>
        <v>0</v>
      </c>
      <c r="L275">
        <f>[1]!'1521.TW-DLOrderValueDiffRatio'</f>
        <v>0</v>
      </c>
      <c r="M275" t="str">
        <f>[1]!'1521.TW-ExchangeIndustry'</f>
        <v>上市汽車</v>
      </c>
      <c r="N275" t="str">
        <f>[1]!'1521.TW-Capital'</f>
        <v>7.62</v>
      </c>
      <c r="O275" t="str">
        <f>[1]!'1521.TW-Time'</f>
        <v>10:14:41</v>
      </c>
    </row>
    <row r="276" spans="1:15" x14ac:dyDescent="0.25">
      <c r="A276" t="str">
        <f>[1]!'1522.TW-ID'</f>
        <v>1522</v>
      </c>
      <c r="B276" t="str">
        <f>[1]!'1522.TW-Name'</f>
        <v>堤維西</v>
      </c>
      <c r="C276">
        <f>[1]!'1522.TW-Price'</f>
        <v>19.5</v>
      </c>
      <c r="D276">
        <f>[1]!'1522.TW-AvgPrice'</f>
        <v>19.399999999999999</v>
      </c>
      <c r="E276">
        <f>[1]!'1522.TW-PriceChangeRatio'</f>
        <v>0.78</v>
      </c>
      <c r="F276" t="str">
        <f>[1]!'1522.TW-InOutRatioNumber'</f>
        <v>79.37%</v>
      </c>
      <c r="G276">
        <f>[1]!'1522.TW-PreTotalVolumeRate'</f>
        <v>0.44</v>
      </c>
      <c r="H276">
        <f>[1]!'1522.TW-VolumeRatio'</f>
        <v>1.33</v>
      </c>
      <c r="I276">
        <f>[1]!'1522.TW-5DayAvgVol'</f>
        <v>195</v>
      </c>
      <c r="J276">
        <f>[1]!'1522.TW-DXLOrderOutValueRatio'</f>
        <v>0</v>
      </c>
      <c r="K276">
        <f>[1]!'1522.TW-DXLOrderValueDiffRatio'</f>
        <v>0</v>
      </c>
      <c r="L276">
        <f>[1]!'1522.TW-DLOrderValueDiffRatio'</f>
        <v>0</v>
      </c>
      <c r="M276" t="str">
        <f>[1]!'1522.TW-ExchangeIndustry'</f>
        <v>上市汽車</v>
      </c>
      <c r="N276" t="str">
        <f>[1]!'1522.TW-Capital'</f>
        <v>31.29</v>
      </c>
      <c r="O276" t="str">
        <f>[1]!'1522.TW-Time'</f>
        <v>10:14:49</v>
      </c>
    </row>
    <row r="277" spans="1:15" x14ac:dyDescent="0.25">
      <c r="A277" t="str">
        <f>[1]!'1524.TW-ID'</f>
        <v>1524</v>
      </c>
      <c r="B277" t="str">
        <f>[1]!'1524.TW-Name'</f>
        <v>耿鼎</v>
      </c>
      <c r="C277">
        <f>[1]!'1524.TW-Price'</f>
        <v>9.82</v>
      </c>
      <c r="D277">
        <f>[1]!'1524.TW-AvgPrice'</f>
        <v>9.82</v>
      </c>
      <c r="E277">
        <f>[1]!'1524.TW-PriceChangeRatio'</f>
        <v>-0.41</v>
      </c>
      <c r="F277" t="str">
        <f>[1]!'1524.TW-InOutRatioNumber'</f>
        <v>48.75%</v>
      </c>
      <c r="G277">
        <f>[1]!'1524.TW-PreTotalVolumeRate'</f>
        <v>0.46</v>
      </c>
      <c r="H277">
        <f>[1]!'1524.TW-VolumeRatio'</f>
        <v>1.88</v>
      </c>
      <c r="I277">
        <f>[1]!'1524.TW-5DayAvgVol'</f>
        <v>118</v>
      </c>
      <c r="J277">
        <f>[1]!'1524.TW-DXLOrderOutValueRatio'</f>
        <v>0</v>
      </c>
      <c r="K277">
        <f>[1]!'1524.TW-DXLOrderValueDiffRatio'</f>
        <v>0</v>
      </c>
      <c r="L277">
        <f>[1]!'1524.TW-DLOrderValueDiffRatio'</f>
        <v>0</v>
      </c>
      <c r="M277" t="str">
        <f>[1]!'1524.TW-ExchangeIndustry'</f>
        <v>上市汽車</v>
      </c>
      <c r="N277" t="str">
        <f>[1]!'1524.TW-Capital'</f>
        <v>16.53</v>
      </c>
      <c r="O277" t="str">
        <f>[1]!'1524.TW-Time'</f>
        <v>10:13:15</v>
      </c>
    </row>
    <row r="278" spans="1:15" x14ac:dyDescent="0.25">
      <c r="A278" t="str">
        <f>[1]!'1525.TW-ID'</f>
        <v>1525</v>
      </c>
      <c r="B278" t="str">
        <f>[1]!'1525.TW-Name'</f>
        <v>江申</v>
      </c>
      <c r="C278">
        <f>[1]!'1525.TW-Price'</f>
        <v>62.2</v>
      </c>
      <c r="D278">
        <f>[1]!'1525.TW-AvgPrice'</f>
        <v>62.66</v>
      </c>
      <c r="E278">
        <f>[1]!'1525.TW-PriceChangeRatio'</f>
        <v>1.1399999999999999</v>
      </c>
      <c r="F278" t="str">
        <f>[1]!'1525.TW-InOutRatioNumber'</f>
        <v>79.17%</v>
      </c>
      <c r="G278">
        <f>[1]!'1525.TW-PreTotalVolumeRate'</f>
        <v>1.6</v>
      </c>
      <c r="H278">
        <f>[1]!'1525.TW-VolumeRatio'</f>
        <v>8.8000000000000007</v>
      </c>
      <c r="I278">
        <f>[1]!'1525.TW-5DayAvgVol'</f>
        <v>25</v>
      </c>
      <c r="J278">
        <f>[1]!'1525.TW-DXLOrderOutValueRatio'</f>
        <v>0</v>
      </c>
      <c r="K278">
        <f>[1]!'1525.TW-DXLOrderValueDiffRatio'</f>
        <v>0</v>
      </c>
      <c r="L278">
        <f>[1]!'1525.TW-DLOrderValueDiffRatio'</f>
        <v>0</v>
      </c>
      <c r="M278" t="str">
        <f>[1]!'1525.TW-ExchangeIndustry'</f>
        <v>上市汽車</v>
      </c>
      <c r="N278" t="str">
        <f>[1]!'1525.TW-Capital'</f>
        <v>7.34</v>
      </c>
      <c r="O278" t="str">
        <f>[1]!'1525.TW-Time'</f>
        <v>09:54:52</v>
      </c>
    </row>
    <row r="279" spans="1:15" x14ac:dyDescent="0.25">
      <c r="A279" t="str">
        <f>[1]!'1533.TW-ID'</f>
        <v>1533</v>
      </c>
      <c r="B279" t="str">
        <f>[1]!'1533.TW-Name'</f>
        <v>車王電</v>
      </c>
      <c r="C279">
        <f>[1]!'1533.TW-Price'</f>
        <v>46.65</v>
      </c>
      <c r="D279">
        <f>[1]!'1533.TW-AvgPrice'</f>
        <v>45.65</v>
      </c>
      <c r="E279">
        <f>[1]!'1533.TW-PriceChangeRatio'</f>
        <v>9.89</v>
      </c>
      <c r="F279" t="str">
        <f>[1]!'1533.TW-InOutRatioNumber'</f>
        <v>90.03%</v>
      </c>
      <c r="G279">
        <f>[1]!'1533.TW-PreTotalVolumeRate'</f>
        <v>3.59</v>
      </c>
      <c r="H279">
        <f>[1]!'1533.TW-VolumeRatio'</f>
        <v>7.62</v>
      </c>
      <c r="I279">
        <f>[1]!'1533.TW-5DayAvgVol'</f>
        <v>108</v>
      </c>
      <c r="J279">
        <f>[1]!'1533.TW-DXLOrderOutValueRatio'</f>
        <v>8.18</v>
      </c>
      <c r="K279">
        <f>[1]!'1533.TW-DXLOrderValueDiffRatio'</f>
        <v>8.18</v>
      </c>
      <c r="L279">
        <f>[1]!'1533.TW-DLOrderValueDiffRatio'</f>
        <v>4.26</v>
      </c>
      <c r="M279" t="str">
        <f>[1]!'1533.TW-ExchangeIndustry'</f>
        <v>上市汽車</v>
      </c>
      <c r="N279" t="str">
        <f>[1]!'1533.TW-Capital'</f>
        <v>9.85</v>
      </c>
      <c r="O279" t="str">
        <f>[1]!'1533.TW-Time'</f>
        <v>10:15:13</v>
      </c>
    </row>
    <row r="280" spans="1:15" x14ac:dyDescent="0.25">
      <c r="A280" t="str">
        <f>[1]!'1536.TW-ID'</f>
        <v>1536</v>
      </c>
      <c r="B280" t="str">
        <f>[1]!'1536.TW-Name'</f>
        <v>和大</v>
      </c>
      <c r="C280">
        <f>[1]!'1536.TW-Price'</f>
        <v>90.5</v>
      </c>
      <c r="D280">
        <f>[1]!'1536.TW-AvgPrice'</f>
        <v>90.93</v>
      </c>
      <c r="E280">
        <f>[1]!'1536.TW-PriceChangeRatio'</f>
        <v>-0.44</v>
      </c>
      <c r="F280" t="str">
        <f>[1]!'1536.TW-InOutRatioNumber'</f>
        <v>23.01%</v>
      </c>
      <c r="G280">
        <f>[1]!'1536.TW-PreTotalVolumeRate'</f>
        <v>0.22</v>
      </c>
      <c r="H280">
        <f>[1]!'1536.TW-VolumeRatio'</f>
        <v>0.52</v>
      </c>
      <c r="I280">
        <f>[1]!'1536.TW-5DayAvgVol'</f>
        <v>520</v>
      </c>
      <c r="J280">
        <f>[1]!'1536.TW-DXLOrderOutValueRatio'</f>
        <v>0</v>
      </c>
      <c r="K280">
        <f>[1]!'1536.TW-DXLOrderValueDiffRatio'</f>
        <v>-12.2</v>
      </c>
      <c r="L280">
        <f>[1]!'1536.TW-DLOrderValueDiffRatio'</f>
        <v>-9.56</v>
      </c>
      <c r="M280" t="str">
        <f>[1]!'1536.TW-ExchangeIndustry'</f>
        <v>上市汽車</v>
      </c>
      <c r="N280" t="str">
        <f>[1]!'1536.TW-Capital'</f>
        <v>27.95</v>
      </c>
      <c r="O280" t="str">
        <f>[1]!'1536.TW-Time'</f>
        <v>10:14:31</v>
      </c>
    </row>
    <row r="281" spans="1:15" x14ac:dyDescent="0.25">
      <c r="A281" t="str">
        <f>[1]!'1568.TW-ID'</f>
        <v>1568</v>
      </c>
      <c r="B281" t="str">
        <f>[1]!'1568.TW-Name'</f>
        <v>倉佑</v>
      </c>
      <c r="C281">
        <f>[1]!'1568.TW-Price'</f>
        <v>22.2</v>
      </c>
      <c r="D281">
        <f>[1]!'1568.TW-AvgPrice'</f>
        <v>21.56</v>
      </c>
      <c r="E281">
        <f>[1]!'1568.TW-PriceChangeRatio'</f>
        <v>8.0299999999999994</v>
      </c>
      <c r="F281" t="str">
        <f>[1]!'1568.TW-InOutRatioNumber'</f>
        <v>83.25%</v>
      </c>
      <c r="G281">
        <f>[1]!'1568.TW-PreTotalVolumeRate'</f>
        <v>3.67</v>
      </c>
      <c r="H281">
        <f>[1]!'1568.TW-VolumeRatio'</f>
        <v>7.43</v>
      </c>
      <c r="I281">
        <f>[1]!'1568.TW-5DayAvgVol'</f>
        <v>72</v>
      </c>
      <c r="J281">
        <f>[1]!'1568.TW-DXLOrderOutValueRatio'</f>
        <v>0</v>
      </c>
      <c r="K281">
        <f>[1]!'1568.TW-DXLOrderValueDiffRatio'</f>
        <v>0</v>
      </c>
      <c r="L281">
        <f>[1]!'1568.TW-DLOrderValueDiffRatio'</f>
        <v>0</v>
      </c>
      <c r="M281" t="str">
        <f>[1]!'1568.TW-ExchangeIndustry'</f>
        <v>上市汽車</v>
      </c>
      <c r="N281" t="str">
        <f>[1]!'1568.TW-Capital'</f>
        <v>10.31</v>
      </c>
      <c r="O281" t="str">
        <f>[1]!'1568.TW-Time'</f>
        <v>10:15:19</v>
      </c>
    </row>
    <row r="282" spans="1:15" x14ac:dyDescent="0.25">
      <c r="A282" t="str">
        <f>[1]!'1587.TW-ID'</f>
        <v>1587</v>
      </c>
      <c r="B282" t="str">
        <f>[1]!'1587.TW-Name'</f>
        <v>吉茂</v>
      </c>
      <c r="C282">
        <f>[1]!'1587.TW-Price'</f>
        <v>25.8</v>
      </c>
      <c r="D282">
        <f>[1]!'1587.TW-AvgPrice'</f>
        <v>25.77</v>
      </c>
      <c r="E282">
        <f>[1]!'1587.TW-PriceChangeRatio'</f>
        <v>1.18</v>
      </c>
      <c r="F282" t="str">
        <f>[1]!'1587.TW-InOutRatioNumber'</f>
        <v>75.00%</v>
      </c>
      <c r="G282">
        <f>[1]!'1587.TW-PreTotalVolumeRate'</f>
        <v>0.2</v>
      </c>
      <c r="H282">
        <f>[1]!'1587.TW-VolumeRatio'</f>
        <v>0.37</v>
      </c>
      <c r="I282">
        <f>[1]!'1587.TW-5DayAvgVol'</f>
        <v>208</v>
      </c>
      <c r="J282">
        <f>[1]!'1587.TW-DXLOrderOutValueRatio'</f>
        <v>0</v>
      </c>
      <c r="K282">
        <f>[1]!'1587.TW-DXLOrderValueDiffRatio'</f>
        <v>0</v>
      </c>
      <c r="L282">
        <f>[1]!'1587.TW-DLOrderValueDiffRatio'</f>
        <v>0</v>
      </c>
      <c r="M282" t="str">
        <f>[1]!'1587.TW-ExchangeIndustry'</f>
        <v>上市汽車</v>
      </c>
      <c r="N282" t="str">
        <f>[1]!'1587.TW-Capital'</f>
        <v>6.86</v>
      </c>
      <c r="O282" t="str">
        <f>[1]!'1587.TW-Time'</f>
        <v>10:10:09</v>
      </c>
    </row>
    <row r="283" spans="1:15" x14ac:dyDescent="0.25">
      <c r="A283" t="str">
        <f>[1]!'2115.TW-ID'</f>
        <v>2115</v>
      </c>
      <c r="B283" t="str">
        <f>[1]!'2115.TW-Name'</f>
        <v>六暉-KY</v>
      </c>
      <c r="C283">
        <f>[1]!'2115.TW-Price'</f>
        <v>40.049999999999997</v>
      </c>
      <c r="D283">
        <f>[1]!'2115.TW-AvgPrice'</f>
        <v>40.049999999999997</v>
      </c>
      <c r="E283">
        <f>[1]!'2115.TW-PriceChangeRatio'</f>
        <v>0</v>
      </c>
      <c r="F283" t="str">
        <f>[1]!'2115.TW-InOutRatioNumber'</f>
        <v>0.00%</v>
      </c>
      <c r="G283">
        <f>[1]!'2115.TW-PreTotalVolumeRate'</f>
        <v>0.13</v>
      </c>
      <c r="H283">
        <f>[1]!'2115.TW-VolumeRatio'</f>
        <v>0</v>
      </c>
      <c r="I283">
        <f>[1]!'2115.TW-5DayAvgVol'</f>
        <v>30</v>
      </c>
      <c r="J283">
        <f>[1]!'2115.TW-DXLOrderOutValueRatio'</f>
        <v>0</v>
      </c>
      <c r="K283">
        <f>[1]!'2115.TW-DXLOrderValueDiffRatio'</f>
        <v>0</v>
      </c>
      <c r="L283">
        <f>[1]!'2115.TW-DLOrderValueDiffRatio'</f>
        <v>0</v>
      </c>
      <c r="M283" t="str">
        <f>[1]!'2115.TW-ExchangeIndustry'</f>
        <v>上市汽車</v>
      </c>
      <c r="N283" t="str">
        <f>[1]!'2115.TW-Capital'</f>
        <v>9.94</v>
      </c>
      <c r="O283" t="str">
        <f>[1]!'2115.TW-Time'</f>
        <v>09:33:37</v>
      </c>
    </row>
    <row r="284" spans="1:15" x14ac:dyDescent="0.25">
      <c r="A284" t="str">
        <f>[1]!'2201.TW-ID'</f>
        <v>2201</v>
      </c>
      <c r="B284" t="str">
        <f>[1]!'2201.TW-Name'</f>
        <v>裕隆</v>
      </c>
      <c r="C284">
        <f>[1]!'2201.TW-Price'</f>
        <v>43.7</v>
      </c>
      <c r="D284">
        <f>[1]!'2201.TW-AvgPrice'</f>
        <v>43.73</v>
      </c>
      <c r="E284">
        <f>[1]!'2201.TW-PriceChangeRatio'</f>
        <v>-1.24</v>
      </c>
      <c r="F284" t="str">
        <f>[1]!'2201.TW-InOutRatioNumber'</f>
        <v>35.89%</v>
      </c>
      <c r="G284">
        <f>[1]!'2201.TW-PreTotalVolumeRate'</f>
        <v>0.45</v>
      </c>
      <c r="H284">
        <f>[1]!'2201.TW-VolumeRatio'</f>
        <v>1.01</v>
      </c>
      <c r="I284">
        <f>[1]!'2201.TW-5DayAvgVol'</f>
        <v>19020</v>
      </c>
      <c r="J284">
        <f>[1]!'2201.TW-DXLOrderOutValueRatio'</f>
        <v>5.97</v>
      </c>
      <c r="K284">
        <f>[1]!'2201.TW-DXLOrderValueDiffRatio'</f>
        <v>-17.89</v>
      </c>
      <c r="L284">
        <f>[1]!'2201.TW-DLOrderValueDiffRatio'</f>
        <v>-7.72</v>
      </c>
      <c r="M284" t="str">
        <f>[1]!'2201.TW-ExchangeIndustry'</f>
        <v>上市汽車</v>
      </c>
      <c r="N284" t="str">
        <f>[1]!'2201.TW-Capital'</f>
        <v>100.00</v>
      </c>
      <c r="O284" t="str">
        <f>[1]!'2201.TW-Time'</f>
        <v>10:15:19</v>
      </c>
    </row>
    <row r="285" spans="1:15" x14ac:dyDescent="0.25">
      <c r="A285" t="str">
        <f>[1]!'2204.TW-ID'</f>
        <v>2204</v>
      </c>
      <c r="B285" t="str">
        <f>[1]!'2204.TW-Name'</f>
        <v>中華</v>
      </c>
      <c r="C285">
        <f>[1]!'2204.TW-Price'</f>
        <v>70.5</v>
      </c>
      <c r="D285">
        <f>[1]!'2204.TW-AvgPrice'</f>
        <v>70.17</v>
      </c>
      <c r="E285">
        <f>[1]!'2204.TW-PriceChangeRatio'</f>
        <v>0.71</v>
      </c>
      <c r="F285" t="str">
        <f>[1]!'2204.TW-InOutRatioNumber'</f>
        <v>52.48%</v>
      </c>
      <c r="G285">
        <f>[1]!'2204.TW-PreTotalVolumeRate'</f>
        <v>0.19</v>
      </c>
      <c r="H285">
        <f>[1]!'2204.TW-VolumeRatio'</f>
        <v>0.37</v>
      </c>
      <c r="I285">
        <f>[1]!'2204.TW-5DayAvgVol'</f>
        <v>1706</v>
      </c>
      <c r="J285">
        <f>[1]!'2204.TW-DXLOrderOutValueRatio'</f>
        <v>0</v>
      </c>
      <c r="K285">
        <f>[1]!'2204.TW-DXLOrderValueDiffRatio'</f>
        <v>0</v>
      </c>
      <c r="L285">
        <f>[1]!'2204.TW-DLOrderValueDiffRatio'</f>
        <v>-5.9</v>
      </c>
      <c r="M285" t="str">
        <f>[1]!'2204.TW-ExchangeIndustry'</f>
        <v>上市汽車</v>
      </c>
      <c r="N285" t="str">
        <f>[1]!'2204.TW-Capital'</f>
        <v>55.36</v>
      </c>
      <c r="O285" t="str">
        <f>[1]!'2204.TW-Time'</f>
        <v>10:15:06</v>
      </c>
    </row>
    <row r="286" spans="1:15" x14ac:dyDescent="0.25">
      <c r="A286" t="str">
        <f>[1]!'2206.TW-ID'</f>
        <v>2206</v>
      </c>
      <c r="B286" t="str">
        <f>[1]!'2206.TW-Name'</f>
        <v>三陽工業</v>
      </c>
      <c r="C286">
        <f>[1]!'2206.TW-Price'</f>
        <v>26.6</v>
      </c>
      <c r="D286">
        <f>[1]!'2206.TW-AvgPrice'</f>
        <v>26.6</v>
      </c>
      <c r="E286">
        <f>[1]!'2206.TW-PriceChangeRatio'</f>
        <v>-0.19</v>
      </c>
      <c r="F286" t="str">
        <f>[1]!'2206.TW-InOutRatioNumber'</f>
        <v>52.94%</v>
      </c>
      <c r="G286">
        <f>[1]!'2206.TW-PreTotalVolumeRate'</f>
        <v>0.34</v>
      </c>
      <c r="H286">
        <f>[1]!'2206.TW-VolumeRatio'</f>
        <v>0.88</v>
      </c>
      <c r="I286">
        <f>[1]!'2206.TW-5DayAvgVol'</f>
        <v>584</v>
      </c>
      <c r="J286">
        <f>[1]!'2206.TW-DXLOrderOutValueRatio'</f>
        <v>0</v>
      </c>
      <c r="K286">
        <f>[1]!'2206.TW-DXLOrderValueDiffRatio'</f>
        <v>0</v>
      </c>
      <c r="L286">
        <f>[1]!'2206.TW-DLOrderValueDiffRatio'</f>
        <v>12.24</v>
      </c>
      <c r="M286" t="str">
        <f>[1]!'2206.TW-ExchangeIndustry'</f>
        <v>上市汽車</v>
      </c>
      <c r="N286" t="str">
        <f>[1]!'2206.TW-Capital'</f>
        <v>80.31</v>
      </c>
      <c r="O286" t="str">
        <f>[1]!'2206.TW-Time'</f>
        <v>10:14:24</v>
      </c>
    </row>
    <row r="287" spans="1:15" x14ac:dyDescent="0.25">
      <c r="A287" t="str">
        <f>[1]!'2207.TW-ID'</f>
        <v>2207</v>
      </c>
      <c r="B287" t="str">
        <f>[1]!'2207.TW-Name'</f>
        <v>和泰車</v>
      </c>
      <c r="C287">
        <f>[1]!'2207.TW-Price'</f>
        <v>596</v>
      </c>
      <c r="D287">
        <f>[1]!'2207.TW-AvgPrice'</f>
        <v>596.80999999999995</v>
      </c>
      <c r="E287">
        <f>[1]!'2207.TW-PriceChangeRatio'</f>
        <v>-0.33</v>
      </c>
      <c r="F287" t="str">
        <f>[1]!'2207.TW-InOutRatioNumber'</f>
        <v>44.44%</v>
      </c>
      <c r="G287">
        <f>[1]!'2207.TW-PreTotalVolumeRate'</f>
        <v>7.0000000000000007E-2</v>
      </c>
      <c r="H287">
        <f>[1]!'2207.TW-VolumeRatio'</f>
        <v>0.19</v>
      </c>
      <c r="I287">
        <f>[1]!'2207.TW-5DayAvgVol'</f>
        <v>218</v>
      </c>
      <c r="J287">
        <f>[1]!'2207.TW-DXLOrderOutValueRatio'</f>
        <v>0</v>
      </c>
      <c r="K287">
        <f>[1]!'2207.TW-DXLOrderValueDiffRatio'</f>
        <v>0</v>
      </c>
      <c r="L287">
        <f>[1]!'2207.TW-DLOrderValueDiffRatio'</f>
        <v>0</v>
      </c>
      <c r="M287" t="str">
        <f>[1]!'2207.TW-ExchangeIndustry'</f>
        <v>上市汽車</v>
      </c>
      <c r="N287" t="str">
        <f>[1]!'2207.TW-Capital'</f>
        <v>54.62</v>
      </c>
      <c r="O287" t="str">
        <f>[1]!'2207.TW-Time'</f>
        <v>09:42:41</v>
      </c>
    </row>
    <row r="288" spans="1:15" x14ac:dyDescent="0.25">
      <c r="A288" t="str">
        <f>[1]!'2227.TW-ID'</f>
        <v>2227</v>
      </c>
      <c r="B288" t="str">
        <f>[1]!'2227.TW-Name'</f>
        <v>裕日車</v>
      </c>
      <c r="C288">
        <f>[1]!'2227.TW-Price'</f>
        <v>255.5</v>
      </c>
      <c r="D288">
        <f>[1]!'2227.TW-AvgPrice'</f>
        <v>257.44</v>
      </c>
      <c r="E288">
        <f>[1]!'2227.TW-PriceChangeRatio'</f>
        <v>0.39</v>
      </c>
      <c r="F288" t="str">
        <f>[1]!'2227.TW-InOutRatioNumber'</f>
        <v>75.00%</v>
      </c>
      <c r="G288">
        <f>[1]!'2227.TW-PreTotalVolumeRate'</f>
        <v>0.21</v>
      </c>
      <c r="H288">
        <f>[1]!'2227.TW-VolumeRatio'</f>
        <v>1.47</v>
      </c>
      <c r="I288">
        <f>[1]!'2227.TW-5DayAvgVol'</f>
        <v>38</v>
      </c>
      <c r="J288">
        <f>[1]!'2227.TW-DXLOrderOutValueRatio'</f>
        <v>0</v>
      </c>
      <c r="K288">
        <f>[1]!'2227.TW-DXLOrderValueDiffRatio'</f>
        <v>0</v>
      </c>
      <c r="L288">
        <f>[1]!'2227.TW-DLOrderValueDiffRatio'</f>
        <v>0</v>
      </c>
      <c r="M288" t="str">
        <f>[1]!'2227.TW-ExchangeIndustry'</f>
        <v>上市汽車</v>
      </c>
      <c r="N288" t="str">
        <f>[1]!'2227.TW-Capital'</f>
        <v>30.00</v>
      </c>
      <c r="O288" t="str">
        <f>[1]!'2227.TW-Time'</f>
        <v>10:14:54</v>
      </c>
    </row>
    <row r="289" spans="1:15" x14ac:dyDescent="0.25">
      <c r="A289" t="str">
        <f>[1]!'2228.TW-ID'</f>
        <v>2228</v>
      </c>
      <c r="B289" t="str">
        <f>[1]!'2228.TW-Name'</f>
        <v>劍麟</v>
      </c>
      <c r="C289">
        <f>[1]!'2228.TW-Price'</f>
        <v>67.400000000000006</v>
      </c>
      <c r="D289">
        <f>[1]!'2228.TW-AvgPrice'</f>
        <v>67.510000000000005</v>
      </c>
      <c r="E289">
        <f>[1]!'2228.TW-PriceChangeRatio'</f>
        <v>-0.15</v>
      </c>
      <c r="F289" t="str">
        <f>[1]!'2228.TW-InOutRatioNumber'</f>
        <v>10.00%</v>
      </c>
      <c r="G289">
        <f>[1]!'2228.TW-PreTotalVolumeRate'</f>
        <v>0.2</v>
      </c>
      <c r="H289">
        <f>[1]!'2228.TW-VolumeRatio'</f>
        <v>0.4</v>
      </c>
      <c r="I289">
        <f>[1]!'2228.TW-5DayAvgVol'</f>
        <v>112</v>
      </c>
      <c r="J289">
        <f>[1]!'2228.TW-DXLOrderOutValueRatio'</f>
        <v>0</v>
      </c>
      <c r="K289">
        <f>[1]!'2228.TW-DXLOrderValueDiffRatio'</f>
        <v>0</v>
      </c>
      <c r="L289">
        <f>[1]!'2228.TW-DLOrderValueDiffRatio'</f>
        <v>0</v>
      </c>
      <c r="M289" t="str">
        <f>[1]!'2228.TW-ExchangeIndustry'</f>
        <v>上市汽車</v>
      </c>
      <c r="N289" t="str">
        <f>[1]!'2228.TW-Capital'</f>
        <v>7.58</v>
      </c>
      <c r="O289" t="str">
        <f>[1]!'2228.TW-Time'</f>
        <v>10:04:45</v>
      </c>
    </row>
    <row r="290" spans="1:15" x14ac:dyDescent="0.25">
      <c r="A290" t="str">
        <f>[1]!'2231.TW-ID'</f>
        <v>2231</v>
      </c>
      <c r="B290" t="str">
        <f>[1]!'2231.TW-Name'</f>
        <v>為升</v>
      </c>
      <c r="C290">
        <f>[1]!'2231.TW-Price'</f>
        <v>152</v>
      </c>
      <c r="D290">
        <f>[1]!'2231.TW-AvgPrice'</f>
        <v>152.41999999999999</v>
      </c>
      <c r="E290">
        <f>[1]!'2231.TW-PriceChangeRatio'</f>
        <v>-0.33</v>
      </c>
      <c r="F290" t="str">
        <f>[1]!'2231.TW-InOutRatioNumber'</f>
        <v>38.46%</v>
      </c>
      <c r="G290">
        <f>[1]!'2231.TW-PreTotalVolumeRate'</f>
        <v>0.16</v>
      </c>
      <c r="H290">
        <f>[1]!'2231.TW-VolumeRatio'</f>
        <v>0.49</v>
      </c>
      <c r="I290">
        <f>[1]!'2231.TW-5DayAvgVol'</f>
        <v>455</v>
      </c>
      <c r="J290">
        <f>[1]!'2231.TW-DXLOrderOutValueRatio'</f>
        <v>0</v>
      </c>
      <c r="K290">
        <f>[1]!'2231.TW-DXLOrderValueDiffRatio'</f>
        <v>0</v>
      </c>
      <c r="L290">
        <f>[1]!'2231.TW-DLOrderValueDiffRatio'</f>
        <v>0</v>
      </c>
      <c r="M290" t="str">
        <f>[1]!'2231.TW-ExchangeIndustry'</f>
        <v>上市汽車</v>
      </c>
      <c r="N290" t="str">
        <f>[1]!'2231.TW-Capital'</f>
        <v>12.19</v>
      </c>
      <c r="O290" t="str">
        <f>[1]!'2231.TW-Time'</f>
        <v>10:07:51</v>
      </c>
    </row>
    <row r="291" spans="1:15" x14ac:dyDescent="0.25">
      <c r="A291" t="str">
        <f>[1]!'2233.TW-ID'</f>
        <v>2233</v>
      </c>
      <c r="B291" t="str">
        <f>[1]!'2233.TW-Name'</f>
        <v>宇隆</v>
      </c>
      <c r="C291">
        <f>[1]!'2233.TW-Price'</f>
        <v>95.6</v>
      </c>
      <c r="D291">
        <f>[1]!'2233.TW-AvgPrice'</f>
        <v>94.74</v>
      </c>
      <c r="E291">
        <f>[1]!'2233.TW-PriceChangeRatio'</f>
        <v>0.74</v>
      </c>
      <c r="F291" t="str">
        <f>[1]!'2233.TW-InOutRatioNumber'</f>
        <v>70.35%</v>
      </c>
      <c r="G291">
        <f>[1]!'2233.TW-PreTotalVolumeRate'</f>
        <v>0.41</v>
      </c>
      <c r="H291">
        <f>[1]!'2233.TW-VolumeRatio'</f>
        <v>1.18</v>
      </c>
      <c r="I291">
        <f>[1]!'2233.TW-5DayAvgVol'</f>
        <v>622</v>
      </c>
      <c r="J291">
        <f>[1]!'2233.TW-DXLOrderOutValueRatio'</f>
        <v>0</v>
      </c>
      <c r="K291">
        <f>[1]!'2233.TW-DXLOrderValueDiffRatio'</f>
        <v>-6.46</v>
      </c>
      <c r="L291">
        <f>[1]!'2233.TW-DLOrderValueDiffRatio'</f>
        <v>29.88</v>
      </c>
      <c r="M291" t="str">
        <f>[1]!'2233.TW-ExchangeIndustry'</f>
        <v>上市汽車</v>
      </c>
      <c r="N291" t="str">
        <f>[1]!'2233.TW-Capital'</f>
        <v>6.03</v>
      </c>
      <c r="O291" t="str">
        <f>[1]!'2233.TW-Time'</f>
        <v>10:13:54</v>
      </c>
    </row>
    <row r="292" spans="1:15" x14ac:dyDescent="0.25">
      <c r="A292" t="str">
        <f>[1]!'2236.TW-ID'</f>
        <v>2236</v>
      </c>
      <c r="B292" t="str">
        <f>[1]!'2236.TW-Name'</f>
        <v>百達-KY</v>
      </c>
      <c r="C292">
        <f>[1]!'2236.TW-Price'</f>
        <v>28.45</v>
      </c>
      <c r="D292">
        <f>[1]!'2236.TW-AvgPrice'</f>
        <v>28.18</v>
      </c>
      <c r="E292">
        <f>[1]!'2236.TW-PriceChangeRatio'</f>
        <v>2.34</v>
      </c>
      <c r="F292" t="str">
        <f>[1]!'2236.TW-InOutRatioNumber'</f>
        <v>75.76%</v>
      </c>
      <c r="G292">
        <f>[1]!'2236.TW-PreTotalVolumeRate'</f>
        <v>0.64</v>
      </c>
      <c r="H292">
        <f>[1]!'2236.TW-VolumeRatio'</f>
        <v>1.1100000000000001</v>
      </c>
      <c r="I292">
        <f>[1]!'2236.TW-5DayAvgVol'</f>
        <v>81</v>
      </c>
      <c r="J292">
        <f>[1]!'2236.TW-DXLOrderOutValueRatio'</f>
        <v>0</v>
      </c>
      <c r="K292">
        <f>[1]!'2236.TW-DXLOrderValueDiffRatio'</f>
        <v>0</v>
      </c>
      <c r="L292">
        <f>[1]!'2236.TW-DLOrderValueDiffRatio'</f>
        <v>0</v>
      </c>
      <c r="M292" t="str">
        <f>[1]!'2236.TW-ExchangeIndustry'</f>
        <v>上市汽車</v>
      </c>
      <c r="N292" t="str">
        <f>[1]!'2236.TW-Capital'</f>
        <v>4.58</v>
      </c>
      <c r="O292" t="str">
        <f>[1]!'2236.TW-Time'</f>
        <v>10:08:22</v>
      </c>
    </row>
    <row r="293" spans="1:15" x14ac:dyDescent="0.25">
      <c r="A293" t="str">
        <f>[1]!'2239.TW-ID'</f>
        <v>2239</v>
      </c>
      <c r="B293" t="str">
        <f>[1]!'2239.TW-Name'</f>
        <v>英利-KY</v>
      </c>
      <c r="C293">
        <f>[1]!'2239.TW-Price'</f>
        <v>61.4</v>
      </c>
      <c r="D293">
        <f>[1]!'2239.TW-AvgPrice'</f>
        <v>60.76</v>
      </c>
      <c r="E293">
        <f>[1]!'2239.TW-PriceChangeRatio'</f>
        <v>2.85</v>
      </c>
      <c r="F293" t="str">
        <f>[1]!'2239.TW-InOutRatioNumber'</f>
        <v>74.78%</v>
      </c>
      <c r="G293">
        <f>[1]!'2239.TW-PreTotalVolumeRate'</f>
        <v>0.44</v>
      </c>
      <c r="H293">
        <f>[1]!'2239.TW-VolumeRatio'</f>
        <v>0.79</v>
      </c>
      <c r="I293">
        <f>[1]!'2239.TW-5DayAvgVol'</f>
        <v>174</v>
      </c>
      <c r="J293">
        <f>[1]!'2239.TW-DXLOrderOutValueRatio'</f>
        <v>0</v>
      </c>
      <c r="K293">
        <f>[1]!'2239.TW-DXLOrderValueDiffRatio'</f>
        <v>0</v>
      </c>
      <c r="L293">
        <f>[1]!'2239.TW-DLOrderValueDiffRatio'</f>
        <v>0</v>
      </c>
      <c r="M293" t="str">
        <f>[1]!'2239.TW-ExchangeIndustry'</f>
        <v>上市汽車</v>
      </c>
      <c r="N293" t="str">
        <f>[1]!'2239.TW-Capital'</f>
        <v>11.80</v>
      </c>
      <c r="O293" t="str">
        <f>[1]!'2239.TW-Time'</f>
        <v>10:15:11</v>
      </c>
    </row>
    <row r="294" spans="1:15" x14ac:dyDescent="0.25">
      <c r="A294" t="str">
        <f>[1]!'2241.TW-ID'</f>
        <v>2241</v>
      </c>
      <c r="B294" t="str">
        <f>[1]!'2241.TW-Name'</f>
        <v>艾姆勒</v>
      </c>
      <c r="C294">
        <f>[1]!'2241.TW-Price'</f>
        <v>56</v>
      </c>
      <c r="D294">
        <f>[1]!'2241.TW-AvgPrice'</f>
        <v>56.24</v>
      </c>
      <c r="E294">
        <f>[1]!'2241.TW-PriceChangeRatio'</f>
        <v>0</v>
      </c>
      <c r="F294" t="str">
        <f>[1]!'2241.TW-InOutRatioNumber'</f>
        <v>33.33%</v>
      </c>
      <c r="G294">
        <f>[1]!'2241.TW-PreTotalVolumeRate'</f>
        <v>0.4</v>
      </c>
      <c r="H294">
        <f>[1]!'2241.TW-VolumeRatio'</f>
        <v>0.84</v>
      </c>
      <c r="I294">
        <f>[1]!'2241.TW-5DayAvgVol'</f>
        <v>86</v>
      </c>
      <c r="J294">
        <f>[1]!'2241.TW-DXLOrderOutValueRatio'</f>
        <v>0</v>
      </c>
      <c r="K294">
        <f>[1]!'2241.TW-DXLOrderValueDiffRatio'</f>
        <v>0</v>
      </c>
      <c r="L294">
        <f>[1]!'2241.TW-DLOrderValueDiffRatio'</f>
        <v>0</v>
      </c>
      <c r="M294" t="str">
        <f>[1]!'2241.TW-ExchangeIndustry'</f>
        <v>上市汽車</v>
      </c>
      <c r="N294" t="str">
        <f>[1]!'2241.TW-Capital'</f>
        <v>8.99</v>
      </c>
      <c r="O294" t="str">
        <f>[1]!'2241.TW-Time'</f>
        <v>10:12:31</v>
      </c>
    </row>
    <row r="295" spans="1:15" x14ac:dyDescent="0.25">
      <c r="A295" t="str">
        <f>[1]!'2243.TW-ID'</f>
        <v>2243</v>
      </c>
      <c r="B295" t="str">
        <f>[1]!'2243.TW-Name'</f>
        <v>宏旭-KY</v>
      </c>
      <c r="C295">
        <f>[1]!'2243.TW-Price'</f>
        <v>23.35</v>
      </c>
      <c r="D295">
        <f>[1]!'2243.TW-AvgPrice'</f>
        <v>22.77</v>
      </c>
      <c r="E295">
        <f>[1]!'2243.TW-PriceChangeRatio'</f>
        <v>9.8800000000000008</v>
      </c>
      <c r="F295" t="str">
        <f>[1]!'2243.TW-InOutRatioNumber'</f>
        <v>56.75%</v>
      </c>
      <c r="G295">
        <f>[1]!'2243.TW-PreTotalVolumeRate'</f>
        <v>0.54</v>
      </c>
      <c r="H295">
        <f>[1]!'2243.TW-VolumeRatio'</f>
        <v>0.83</v>
      </c>
      <c r="I295">
        <f>[1]!'2243.TW-5DayAvgVol'</f>
        <v>3444</v>
      </c>
      <c r="J295">
        <f>[1]!'2243.TW-DXLOrderOutValueRatio'</f>
        <v>9.98</v>
      </c>
      <c r="K295">
        <f>[1]!'2243.TW-DXLOrderValueDiffRatio'</f>
        <v>8.44</v>
      </c>
      <c r="L295">
        <f>[1]!'2243.TW-DLOrderValueDiffRatio'</f>
        <v>0.6</v>
      </c>
      <c r="M295" t="str">
        <f>[1]!'2243.TW-ExchangeIndustry'</f>
        <v>上市汽車</v>
      </c>
      <c r="N295" t="str">
        <f>[1]!'2243.TW-Capital'</f>
        <v>4.59</v>
      </c>
      <c r="O295" t="str">
        <f>[1]!'2243.TW-Time'</f>
        <v>10:14:36</v>
      </c>
    </row>
    <row r="296" spans="1:15" x14ac:dyDescent="0.25">
      <c r="A296" t="str">
        <f>[1]!'2247.TW-ID'</f>
        <v>2247</v>
      </c>
      <c r="B296" t="str">
        <f>[1]!'2247.TW-Name'</f>
        <v>汎德永業</v>
      </c>
      <c r="C296">
        <f>[1]!'2247.TW-Price'</f>
        <v>210</v>
      </c>
      <c r="D296">
        <f>[1]!'2247.TW-AvgPrice'</f>
        <v>210</v>
      </c>
      <c r="E296">
        <f>[1]!'2247.TW-PriceChangeRatio'</f>
        <v>0.24</v>
      </c>
      <c r="F296" t="str">
        <f>[1]!'2247.TW-InOutRatioNumber'</f>
        <v>87.50%</v>
      </c>
      <c r="G296">
        <f>[1]!'2247.TW-PreTotalVolumeRate'</f>
        <v>0.12</v>
      </c>
      <c r="H296">
        <f>[1]!'2247.TW-VolumeRatio'</f>
        <v>1.07</v>
      </c>
      <c r="I296">
        <f>[1]!'2247.TW-5DayAvgVol'</f>
        <v>55</v>
      </c>
      <c r="J296">
        <f>[1]!'2247.TW-DXLOrderOutValueRatio'</f>
        <v>0</v>
      </c>
      <c r="K296">
        <f>[1]!'2247.TW-DXLOrderValueDiffRatio'</f>
        <v>0</v>
      </c>
      <c r="L296">
        <f>[1]!'2247.TW-DLOrderValueDiffRatio'</f>
        <v>0</v>
      </c>
      <c r="M296" t="str">
        <f>[1]!'2247.TW-ExchangeIndustry'</f>
        <v>上市汽車</v>
      </c>
      <c r="N296" t="str">
        <f>[1]!'2247.TW-Capital'</f>
        <v>8.07</v>
      </c>
      <c r="O296" t="str">
        <f>[1]!'2247.TW-Time'</f>
        <v>09:46:13</v>
      </c>
    </row>
    <row r="297" spans="1:15" x14ac:dyDescent="0.25">
      <c r="A297" t="str">
        <f>[1]!'2250.TW-ID'</f>
        <v>2250</v>
      </c>
      <c r="B297" t="str">
        <f>[1]!'2250.TW-Name'</f>
        <v>IKKA-KY</v>
      </c>
      <c r="C297">
        <f>[1]!'2250.TW-Price'</f>
        <v>100</v>
      </c>
      <c r="D297">
        <f>[1]!'2250.TW-AvgPrice'</f>
        <v>100.17</v>
      </c>
      <c r="E297">
        <f>[1]!'2250.TW-PriceChangeRatio'</f>
        <v>0.2</v>
      </c>
      <c r="F297" t="str">
        <f>[1]!'2250.TW-InOutRatioNumber'</f>
        <v>50.00%</v>
      </c>
      <c r="G297">
        <f>[1]!'2250.TW-PreTotalVolumeRate'</f>
        <v>0.47</v>
      </c>
      <c r="H297">
        <f>[1]!'2250.TW-VolumeRatio'</f>
        <v>0.98</v>
      </c>
      <c r="I297">
        <f>[1]!'2250.TW-5DayAvgVol'</f>
        <v>72</v>
      </c>
      <c r="J297">
        <f>[1]!'2250.TW-DXLOrderOutValueRatio'</f>
        <v>0</v>
      </c>
      <c r="K297">
        <f>[1]!'2250.TW-DXLOrderValueDiffRatio'</f>
        <v>0</v>
      </c>
      <c r="L297">
        <f>[1]!'2250.TW-DLOrderValueDiffRatio'</f>
        <v>0</v>
      </c>
      <c r="M297" t="str">
        <f>[1]!'2250.TW-ExchangeIndustry'</f>
        <v>上市汽車</v>
      </c>
      <c r="N297" t="str">
        <f>[1]!'2250.TW-Capital'</f>
        <v>2.70</v>
      </c>
      <c r="O297" t="str">
        <f>[1]!'2250.TW-Time'</f>
        <v>10:11:53</v>
      </c>
    </row>
    <row r="298" spans="1:15" x14ac:dyDescent="0.25">
      <c r="A298" t="str">
        <f>[1]!'2497.TW-ID'</f>
        <v>2497</v>
      </c>
      <c r="B298" t="str">
        <f>[1]!'2497.TW-Name'</f>
        <v>怡利電</v>
      </c>
      <c r="C298">
        <f>[1]!'2497.TW-Price'</f>
        <v>34.1</v>
      </c>
      <c r="D298">
        <f>[1]!'2497.TW-AvgPrice'</f>
        <v>34.18</v>
      </c>
      <c r="E298">
        <f>[1]!'2497.TW-PriceChangeRatio'</f>
        <v>2.71</v>
      </c>
      <c r="F298" t="str">
        <f>[1]!'2497.TW-InOutRatioNumber'</f>
        <v>72.05%</v>
      </c>
      <c r="G298">
        <f>[1]!'2497.TW-PreTotalVolumeRate'</f>
        <v>1.31</v>
      </c>
      <c r="H298">
        <f>[1]!'2497.TW-VolumeRatio'</f>
        <v>2.77</v>
      </c>
      <c r="I298">
        <f>[1]!'2497.TW-5DayAvgVol'</f>
        <v>317</v>
      </c>
      <c r="J298">
        <f>[1]!'2497.TW-DXLOrderOutValueRatio'</f>
        <v>0</v>
      </c>
      <c r="K298">
        <f>[1]!'2497.TW-DXLOrderValueDiffRatio'</f>
        <v>0</v>
      </c>
      <c r="L298">
        <f>[1]!'2497.TW-DLOrderValueDiffRatio'</f>
        <v>0</v>
      </c>
      <c r="M298" t="str">
        <f>[1]!'2497.TW-ExchangeIndustry'</f>
        <v>上市汽車</v>
      </c>
      <c r="N298" t="str">
        <f>[1]!'2497.TW-Capital'</f>
        <v>11.88</v>
      </c>
      <c r="O298" t="str">
        <f>[1]!'2497.TW-Time'</f>
        <v>10:13:02</v>
      </c>
    </row>
    <row r="299" spans="1:15" x14ac:dyDescent="0.25">
      <c r="A299" t="str">
        <f>[1]!'3346.TW-ID'</f>
        <v>3346</v>
      </c>
      <c r="B299" t="str">
        <f>[1]!'3346.TW-Name'</f>
        <v>麗清</v>
      </c>
      <c r="C299">
        <f>[1]!'3346.TW-Price'</f>
        <v>37</v>
      </c>
      <c r="D299">
        <f>[1]!'3346.TW-AvgPrice'</f>
        <v>36.950000000000003</v>
      </c>
      <c r="E299">
        <f>[1]!'3346.TW-PriceChangeRatio'</f>
        <v>0.82</v>
      </c>
      <c r="F299" t="str">
        <f>[1]!'3346.TW-InOutRatioNumber'</f>
        <v>43.06%</v>
      </c>
      <c r="G299">
        <f>[1]!'3346.TW-PreTotalVolumeRate'</f>
        <v>0.42</v>
      </c>
      <c r="H299">
        <f>[1]!'3346.TW-VolumeRatio'</f>
        <v>1.02</v>
      </c>
      <c r="I299">
        <f>[1]!'3346.TW-5DayAvgVol'</f>
        <v>243</v>
      </c>
      <c r="J299">
        <f>[1]!'3346.TW-DXLOrderOutValueRatio'</f>
        <v>0</v>
      </c>
      <c r="K299">
        <f>[1]!'3346.TW-DXLOrderValueDiffRatio'</f>
        <v>0</v>
      </c>
      <c r="L299">
        <f>[1]!'3346.TW-DLOrderValueDiffRatio'</f>
        <v>0</v>
      </c>
      <c r="M299" t="str">
        <f>[1]!'3346.TW-ExchangeIndustry'</f>
        <v>上市汽車</v>
      </c>
      <c r="N299" t="str">
        <f>[1]!'3346.TW-Capital'</f>
        <v>9.65</v>
      </c>
      <c r="O299" t="str">
        <f>[1]!'3346.TW-Time'</f>
        <v>10:01:32</v>
      </c>
    </row>
    <row r="300" spans="1:15" x14ac:dyDescent="0.25">
      <c r="A300" t="str">
        <f>[1]!'4551.TW-ID'</f>
        <v>4551</v>
      </c>
      <c r="B300" t="str">
        <f>[1]!'4551.TW-Name'</f>
        <v>智伸科</v>
      </c>
      <c r="C300">
        <f>[1]!'4551.TW-Price'</f>
        <v>152.5</v>
      </c>
      <c r="D300">
        <f>[1]!'4551.TW-AvgPrice'</f>
        <v>153.69</v>
      </c>
      <c r="E300">
        <f>[1]!'4551.TW-PriceChangeRatio'</f>
        <v>-1.29</v>
      </c>
      <c r="F300" t="str">
        <f>[1]!'4551.TW-InOutRatioNumber'</f>
        <v>19.35%</v>
      </c>
      <c r="G300">
        <f>[1]!'4551.TW-PreTotalVolumeRate'</f>
        <v>0.14000000000000001</v>
      </c>
      <c r="H300">
        <f>[1]!'4551.TW-VolumeRatio'</f>
        <v>0.45</v>
      </c>
      <c r="I300">
        <f>[1]!'4551.TW-5DayAvgVol'</f>
        <v>203</v>
      </c>
      <c r="J300">
        <f>[1]!'4551.TW-DXLOrderOutValueRatio'</f>
        <v>0</v>
      </c>
      <c r="K300">
        <f>[1]!'4551.TW-DXLOrderValueDiffRatio'</f>
        <v>0</v>
      </c>
      <c r="L300">
        <f>[1]!'4551.TW-DLOrderValueDiffRatio'</f>
        <v>0</v>
      </c>
      <c r="M300" t="str">
        <f>[1]!'4551.TW-ExchangeIndustry'</f>
        <v>上市汽車</v>
      </c>
      <c r="N300" t="str">
        <f>[1]!'4551.TW-Capital'</f>
        <v>11.77</v>
      </c>
      <c r="O300" t="str">
        <f>[1]!'4551.TW-Time'</f>
        <v>10:12:59</v>
      </c>
    </row>
    <row r="301" spans="1:15" x14ac:dyDescent="0.25">
      <c r="A301" t="str">
        <f>[1]!'4557.TW-ID'</f>
        <v>4557</v>
      </c>
      <c r="B301" t="str">
        <f>[1]!'4557.TW-Name'</f>
        <v>永新-KY</v>
      </c>
      <c r="C301" t="str">
        <f>[1]!'4557.TW-Price'</f>
        <v>--</v>
      </c>
      <c r="D301" t="str">
        <f>[1]!'4557.TW-AvgPrice'</f>
        <v>--</v>
      </c>
      <c r="E301" t="str">
        <f>[1]!'4557.TW-PriceChangeRatio'</f>
        <v>--</v>
      </c>
      <c r="F301" t="str">
        <f>[1]!'4557.TW-InOutRatioNumber'</f>
        <v>--</v>
      </c>
      <c r="G301">
        <f>[1]!'4557.TW-PreTotalVolumeRate'</f>
        <v>0</v>
      </c>
      <c r="H301">
        <f>[1]!'4557.TW-VolumeRatio'</f>
        <v>0</v>
      </c>
      <c r="I301">
        <f>[1]!'4557.TW-5DayAvgVol'</f>
        <v>28</v>
      </c>
      <c r="J301">
        <f>[1]!'4557.TW-DXLOrderOutValueRatio'</f>
        <v>0</v>
      </c>
      <c r="K301">
        <f>[1]!'4557.TW-DXLOrderValueDiffRatio'</f>
        <v>0</v>
      </c>
      <c r="L301">
        <f>[1]!'4557.TW-DLOrderValueDiffRatio'</f>
        <v>0</v>
      </c>
      <c r="M301" t="str">
        <f>[1]!'4557.TW-ExchangeIndustry'</f>
        <v>上市汽車</v>
      </c>
      <c r="N301" t="str">
        <f>[1]!'4557.TW-Capital'</f>
        <v>3.98</v>
      </c>
      <c r="O301" t="str">
        <f>[1]!'4557.TW-Time'</f>
        <v>--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7271</cp:lastModifiedBy>
  <dcterms:created xsi:type="dcterms:W3CDTF">2021-10-14T16:40:55Z</dcterms:created>
  <dcterms:modified xsi:type="dcterms:W3CDTF">2021-10-18T02:15:24Z</dcterms:modified>
</cp:coreProperties>
</file>